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comments4.xml" ContentType="application/vnd.openxmlformats-officedocument.spreadsheetml.comments+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activeTab="4"/>
  </bookViews>
  <sheets>
    <sheet name="Top Sheet" sheetId="9" r:id="rId1"/>
    <sheet name="Dec Council Meeting" sheetId="34" r:id="rId2"/>
    <sheet name="Summary New Year" sheetId="20" r:id="rId3"/>
    <sheet name="Annual Report" sheetId="35" r:id="rId4"/>
    <sheet name="New Year-Full Year" sheetId="1" r:id="rId5"/>
    <sheet name="Analysis of Rates" sheetId="36" state="hidden" r:id="rId6"/>
    <sheet name="Options" sheetId="33" r:id="rId7"/>
    <sheet name="Benevolence" sheetId="31" r:id="rId8"/>
    <sheet name="Pastor" sheetId="21" r:id="rId9"/>
    <sheet name="Comparison" sheetId="32" state="hidden" r:id="rId10"/>
    <sheet name="Assoc. Pastor" sheetId="29" r:id="rId11"/>
    <sheet name="Band and Other Music" sheetId="22" r:id="rId12"/>
    <sheet name="Rates for Cheryl" sheetId="24" r:id="rId13"/>
    <sheet name="Pie Chart" sheetId="27" r:id="rId14"/>
    <sheet name="Expenses" sheetId="28" r:id="rId15"/>
  </sheets>
  <externalReferences>
    <externalReference r:id="rId16"/>
  </externalReferences>
  <definedNames>
    <definedName name="Bud_Yr">'Top Sheet'!$C$2</definedName>
    <definedName name="dddd" localSheetId="5">#REF!</definedName>
    <definedName name="dddd" localSheetId="10">#REF!</definedName>
    <definedName name="dddd">#REF!</definedName>
    <definedName name="_xlnm.Print_Titles" localSheetId="14">Expenses!$2:$4</definedName>
    <definedName name="_xlnm.Print_Titles" localSheetId="4">'New Year-Full Year'!$2:$4</definedName>
    <definedName name="_xlnm.Print_Titles" localSheetId="2">'Summary New Year'!$1:$5</definedName>
  </definedNames>
  <calcPr calcId="124519"/>
</workbook>
</file>

<file path=xl/calcChain.xml><?xml version="1.0" encoding="utf-8"?>
<calcChain xmlns="http://schemas.openxmlformats.org/spreadsheetml/2006/main">
  <c r="V116" i="1"/>
  <c r="U116"/>
  <c r="V102"/>
  <c r="U102"/>
  <c r="U17"/>
  <c r="I58" i="29"/>
  <c r="I11"/>
  <c r="J11"/>
  <c r="K3" s="1"/>
  <c r="J4"/>
  <c r="J24"/>
  <c r="J28"/>
  <c r="J13" s="1"/>
  <c r="J29"/>
  <c r="J34" s="1"/>
  <c r="J44"/>
  <c r="J55"/>
  <c r="K28" i="21"/>
  <c r="Q28"/>
  <c r="V7"/>
  <c r="D6" i="24"/>
  <c r="C41"/>
  <c r="C40"/>
  <c r="C37"/>
  <c r="C36"/>
  <c r="C35"/>
  <c r="C34"/>
  <c r="C30"/>
  <c r="C25"/>
  <c r="C24"/>
  <c r="C31"/>
  <c r="C26"/>
  <c r="C27"/>
  <c r="P12" i="22"/>
  <c r="C19" i="24" s="1"/>
  <c r="P133" i="1"/>
  <c r="H153"/>
  <c r="F152"/>
  <c r="H152" s="1"/>
  <c r="I144"/>
  <c r="E144"/>
  <c r="K11" i="21"/>
  <c r="K4" s="1"/>
  <c r="S6"/>
  <c r="T6"/>
  <c r="U6"/>
  <c r="V6"/>
  <c r="R6"/>
  <c r="P7" i="1"/>
  <c r="I4" i="29" l="1"/>
  <c r="J15"/>
  <c r="J19" l="1"/>
  <c r="J20" s="1"/>
  <c r="S18" i="21"/>
  <c r="T18"/>
  <c r="U18"/>
  <c r="V18"/>
  <c r="R18"/>
  <c r="S24"/>
  <c r="T24"/>
  <c r="U24"/>
  <c r="U26" s="1"/>
  <c r="U28" s="1"/>
  <c r="V24"/>
  <c r="S25"/>
  <c r="T25"/>
  <c r="U25"/>
  <c r="V25"/>
  <c r="R25"/>
  <c r="R24"/>
  <c r="S30"/>
  <c r="T30"/>
  <c r="T32" s="1"/>
  <c r="T14" s="1"/>
  <c r="U30"/>
  <c r="V30"/>
  <c r="V32" s="1"/>
  <c r="V14" s="1"/>
  <c r="R30"/>
  <c r="S31"/>
  <c r="T31"/>
  <c r="U31"/>
  <c r="V31"/>
  <c r="R31"/>
  <c r="S35"/>
  <c r="T35"/>
  <c r="U35"/>
  <c r="V35"/>
  <c r="R35"/>
  <c r="S45"/>
  <c r="T45"/>
  <c r="U45"/>
  <c r="V45"/>
  <c r="S46"/>
  <c r="T46"/>
  <c r="U46"/>
  <c r="V46"/>
  <c r="R46"/>
  <c r="R45"/>
  <c r="S56"/>
  <c r="T56"/>
  <c r="U56"/>
  <c r="V56"/>
  <c r="S57"/>
  <c r="T57"/>
  <c r="U57"/>
  <c r="V57"/>
  <c r="S59"/>
  <c r="T59"/>
  <c r="U59"/>
  <c r="V59"/>
  <c r="R59"/>
  <c r="R57"/>
  <c r="R56"/>
  <c r="P135" i="1"/>
  <c r="Q135"/>
  <c r="R43" i="22"/>
  <c r="P43"/>
  <c r="P51" s="1"/>
  <c r="P36"/>
  <c r="P35"/>
  <c r="P19"/>
  <c r="P6"/>
  <c r="P14" s="1"/>
  <c r="P125" i="1"/>
  <c r="P124"/>
  <c r="P123"/>
  <c r="P122"/>
  <c r="P117"/>
  <c r="Q125"/>
  <c r="Q124"/>
  <c r="Q123"/>
  <c r="Q122"/>
  <c r="Q117"/>
  <c r="I55" i="29"/>
  <c r="I44"/>
  <c r="I28"/>
  <c r="I13" s="1"/>
  <c r="I24"/>
  <c r="I29" s="1"/>
  <c r="I34" s="1"/>
  <c r="P112" i="1"/>
  <c r="P110"/>
  <c r="P104"/>
  <c r="Q112"/>
  <c r="Q110"/>
  <c r="Q104"/>
  <c r="Q60" i="21"/>
  <c r="Q61" s="1"/>
  <c r="Q48"/>
  <c r="Q32"/>
  <c r="Q14" s="1"/>
  <c r="Q26"/>
  <c r="Q33" s="1"/>
  <c r="Q38" s="1"/>
  <c r="R11"/>
  <c r="D8" i="24"/>
  <c r="D20" i="35"/>
  <c r="D19"/>
  <c r="D18"/>
  <c r="D17"/>
  <c r="C20"/>
  <c r="C19"/>
  <c r="C18"/>
  <c r="C17"/>
  <c r="B20"/>
  <c r="B19"/>
  <c r="B18"/>
  <c r="B17"/>
  <c r="F157" i="1"/>
  <c r="E27" i="36"/>
  <c r="J38" i="29" l="1"/>
  <c r="J32"/>
  <c r="J33" s="1"/>
  <c r="J35" s="1"/>
  <c r="J36" s="1"/>
  <c r="J45"/>
  <c r="J46" s="1"/>
  <c r="V48" i="21"/>
  <c r="S26"/>
  <c r="T48"/>
  <c r="T26"/>
  <c r="T33" s="1"/>
  <c r="T38" s="1"/>
  <c r="S48"/>
  <c r="S60"/>
  <c r="S61" s="1"/>
  <c r="S32"/>
  <c r="S14" s="1"/>
  <c r="S33"/>
  <c r="S38" s="1"/>
  <c r="R60"/>
  <c r="R61" s="1"/>
  <c r="U48"/>
  <c r="V26"/>
  <c r="V28" s="1"/>
  <c r="T60"/>
  <c r="T61" s="1"/>
  <c r="U60"/>
  <c r="U61" s="1"/>
  <c r="V60"/>
  <c r="V61" s="1"/>
  <c r="U33"/>
  <c r="U38" s="1"/>
  <c r="R26"/>
  <c r="R28" s="1"/>
  <c r="U32"/>
  <c r="U14" s="1"/>
  <c r="R32"/>
  <c r="R14" s="1"/>
  <c r="R16" s="1"/>
  <c r="R48"/>
  <c r="P111" i="1"/>
  <c r="P21" i="22"/>
  <c r="P27" s="1"/>
  <c r="P54"/>
  <c r="P56" s="1"/>
  <c r="P59" s="1"/>
  <c r="P16"/>
  <c r="P20" s="1"/>
  <c r="P31"/>
  <c r="P33" s="1"/>
  <c r="P38" s="1"/>
  <c r="P41" s="1"/>
  <c r="P140" i="1" s="1"/>
  <c r="P45" i="22"/>
  <c r="P48" s="1"/>
  <c r="P52" s="1"/>
  <c r="P139" i="1" s="1"/>
  <c r="I15" i="29"/>
  <c r="T28" i="21"/>
  <c r="S28"/>
  <c r="E30" i="36"/>
  <c r="F30" s="1"/>
  <c r="F36"/>
  <c r="F37"/>
  <c r="F38"/>
  <c r="H36"/>
  <c r="H18"/>
  <c r="H38"/>
  <c r="H37"/>
  <c r="G37"/>
  <c r="I35"/>
  <c r="I17"/>
  <c r="G36"/>
  <c r="G38"/>
  <c r="H30"/>
  <c r="G30"/>
  <c r="H27"/>
  <c r="G27"/>
  <c r="F27"/>
  <c r="F28" s="1"/>
  <c r="F29" s="1"/>
  <c r="H24"/>
  <c r="G24"/>
  <c r="F24"/>
  <c r="H21"/>
  <c r="G21"/>
  <c r="F21"/>
  <c r="G18"/>
  <c r="F18"/>
  <c r="H12"/>
  <c r="F13" s="1"/>
  <c r="F14" s="1"/>
  <c r="G12"/>
  <c r="H6"/>
  <c r="G6"/>
  <c r="C14" i="31"/>
  <c r="C13"/>
  <c r="C12"/>
  <c r="C11"/>
  <c r="C10"/>
  <c r="C9"/>
  <c r="C8"/>
  <c r="C7"/>
  <c r="C6"/>
  <c r="J57" i="29" l="1"/>
  <c r="V33" i="21"/>
  <c r="V38" s="1"/>
  <c r="R33"/>
  <c r="R38" s="1"/>
  <c r="I19" i="29"/>
  <c r="P116" i="1"/>
  <c r="P28" i="22"/>
  <c r="P29" s="1"/>
  <c r="P22"/>
  <c r="R19" i="21"/>
  <c r="R21" s="1"/>
  <c r="F6" i="36"/>
  <c r="F39"/>
  <c r="F40" s="1"/>
  <c r="G39"/>
  <c r="G40" s="1"/>
  <c r="G31"/>
  <c r="G32" s="1"/>
  <c r="F31"/>
  <c r="F32" s="1"/>
  <c r="F19"/>
  <c r="F20" s="1"/>
  <c r="G19"/>
  <c r="G20" s="1"/>
  <c r="F25"/>
  <c r="F26" s="1"/>
  <c r="G25"/>
  <c r="G26" s="1"/>
  <c r="G28"/>
  <c r="G29" s="1"/>
  <c r="F22"/>
  <c r="F23" s="1"/>
  <c r="G22"/>
  <c r="G23" s="1"/>
  <c r="G7"/>
  <c r="G8" s="1"/>
  <c r="G13"/>
  <c r="G14" s="1"/>
  <c r="C4" i="31"/>
  <c r="H11" i="34"/>
  <c r="J58" i="29" l="1"/>
  <c r="J59"/>
  <c r="I20"/>
  <c r="P118" i="1"/>
  <c r="P61" i="22"/>
  <c r="P138" i="1"/>
  <c r="R49" i="21"/>
  <c r="R52" s="1"/>
  <c r="R53" s="1"/>
  <c r="R42"/>
  <c r="R36"/>
  <c r="R37" s="1"/>
  <c r="R39" s="1"/>
  <c r="R40" s="1"/>
  <c r="F7" i="36"/>
  <c r="F8" s="1"/>
  <c r="G21" i="35"/>
  <c r="E21"/>
  <c r="E12"/>
  <c r="E14" s="1"/>
  <c r="R63" i="21" l="1"/>
  <c r="I38" i="29"/>
  <c r="P119" i="1" s="1"/>
  <c r="I45" i="29"/>
  <c r="I46" s="1"/>
  <c r="I32"/>
  <c r="I33" s="1"/>
  <c r="I35" s="1"/>
  <c r="I36" s="1"/>
  <c r="B21" i="35"/>
  <c r="E23"/>
  <c r="D21"/>
  <c r="C21"/>
  <c r="E7" i="31"/>
  <c r="D7" s="1"/>
  <c r="E8"/>
  <c r="D8" s="1"/>
  <c r="E9"/>
  <c r="D9" s="1"/>
  <c r="E10"/>
  <c r="D10" s="1"/>
  <c r="E11"/>
  <c r="D11" s="1"/>
  <c r="E12"/>
  <c r="D12" s="1"/>
  <c r="E13"/>
  <c r="D13" s="1"/>
  <c r="E14"/>
  <c r="D14" s="1"/>
  <c r="E6"/>
  <c r="D6" s="1"/>
  <c r="J13" i="34"/>
  <c r="J10"/>
  <c r="C14"/>
  <c r="E7"/>
  <c r="E13" s="1"/>
  <c r="I57" i="29" l="1"/>
  <c r="P121" i="1"/>
  <c r="D15" i="31"/>
  <c r="E11" i="34"/>
  <c r="E14" s="1"/>
  <c r="I7" i="21"/>
  <c r="I4"/>
  <c r="AH147" i="1" l="1"/>
  <c r="AI147"/>
  <c r="AJ147"/>
  <c r="AK112"/>
  <c r="J76" i="20"/>
  <c r="K76"/>
  <c r="E6" i="29"/>
  <c r="K4" s="1"/>
  <c r="Q151" i="1"/>
  <c r="H9" i="36" l="1"/>
  <c r="F9" s="1"/>
  <c r="F42" s="1"/>
  <c r="D56" i="22"/>
  <c r="D59" s="1"/>
  <c r="D54"/>
  <c r="D48"/>
  <c r="D45"/>
  <c r="D43"/>
  <c r="D51" s="1"/>
  <c r="D36"/>
  <c r="D35"/>
  <c r="D33"/>
  <c r="D27"/>
  <c r="D16"/>
  <c r="D20" s="1"/>
  <c r="D19"/>
  <c r="D21"/>
  <c r="K60" i="21"/>
  <c r="Q111" i="1" s="1"/>
  <c r="K48" i="21"/>
  <c r="K32"/>
  <c r="K14" s="1"/>
  <c r="K26"/>
  <c r="Q42" i="1"/>
  <c r="E4" i="29"/>
  <c r="P6" i="21"/>
  <c r="L4"/>
  <c r="M6"/>
  <c r="N6"/>
  <c r="O6"/>
  <c r="O60"/>
  <c r="O61" s="1"/>
  <c r="O48"/>
  <c r="O32"/>
  <c r="O14" s="1"/>
  <c r="O26"/>
  <c r="O28" s="1"/>
  <c r="P60"/>
  <c r="P61" s="1"/>
  <c r="N60"/>
  <c r="N61" s="1"/>
  <c r="M60"/>
  <c r="M61" s="1"/>
  <c r="L60"/>
  <c r="L61" s="1"/>
  <c r="P48"/>
  <c r="N48"/>
  <c r="M48"/>
  <c r="L48"/>
  <c r="P32"/>
  <c r="P14" s="1"/>
  <c r="N32"/>
  <c r="N14" s="1"/>
  <c r="M32"/>
  <c r="L32"/>
  <c r="L14" s="1"/>
  <c r="P26"/>
  <c r="P33" s="1"/>
  <c r="P38" s="1"/>
  <c r="N26"/>
  <c r="N33" s="1"/>
  <c r="N38" s="1"/>
  <c r="M26"/>
  <c r="M33" s="1"/>
  <c r="M38" s="1"/>
  <c r="L26"/>
  <c r="L33" s="1"/>
  <c r="L38" s="1"/>
  <c r="M14"/>
  <c r="F16" i="32"/>
  <c r="C12"/>
  <c r="C13" s="1"/>
  <c r="F13"/>
  <c r="F12"/>
  <c r="G12"/>
  <c r="G13" s="1"/>
  <c r="G9"/>
  <c r="G6"/>
  <c r="G4"/>
  <c r="D13"/>
  <c r="D10"/>
  <c r="D7"/>
  <c r="D4"/>
  <c r="F4"/>
  <c r="C4"/>
  <c r="D34" i="29"/>
  <c r="C34"/>
  <c r="C13"/>
  <c r="D13"/>
  <c r="E11"/>
  <c r="D8" i="35" l="1"/>
  <c r="D22" i="22"/>
  <c r="D28"/>
  <c r="D29" s="1"/>
  <c r="D61" s="1"/>
  <c r="D38"/>
  <c r="D41" s="1"/>
  <c r="K61" i="21"/>
  <c r="R4"/>
  <c r="F10" i="36"/>
  <c r="F11" s="1"/>
  <c r="H42"/>
  <c r="D52" i="22"/>
  <c r="K33" i="21"/>
  <c r="K38" s="1"/>
  <c r="O33"/>
  <c r="O38" s="1"/>
  <c r="M28"/>
  <c r="P28"/>
  <c r="L28"/>
  <c r="N28"/>
  <c r="C6" i="32"/>
  <c r="C7" s="1"/>
  <c r="E28" i="29"/>
  <c r="E13" s="1"/>
  <c r="E15" s="1"/>
  <c r="E24"/>
  <c r="U42" i="1"/>
  <c r="C8" i="35" s="1"/>
  <c r="V42" i="1"/>
  <c r="W37"/>
  <c r="S37"/>
  <c r="R37"/>
  <c r="W36"/>
  <c r="S36"/>
  <c r="R36"/>
  <c r="W35"/>
  <c r="S35"/>
  <c r="R35"/>
  <c r="W34"/>
  <c r="S34"/>
  <c r="R34"/>
  <c r="W33"/>
  <c r="S33"/>
  <c r="R33"/>
  <c r="W32"/>
  <c r="S32"/>
  <c r="R32"/>
  <c r="W31"/>
  <c r="S31"/>
  <c r="R31"/>
  <c r="W30"/>
  <c r="S30"/>
  <c r="R30"/>
  <c r="W29"/>
  <c r="S29"/>
  <c r="R29"/>
  <c r="S28"/>
  <c r="R28"/>
  <c r="W27"/>
  <c r="AD92"/>
  <c r="AE92"/>
  <c r="AF92"/>
  <c r="AD94"/>
  <c r="AE94"/>
  <c r="AF94"/>
  <c r="AD95"/>
  <c r="AE95"/>
  <c r="AF95"/>
  <c r="AE91"/>
  <c r="AF91"/>
  <c r="AD91"/>
  <c r="AE90"/>
  <c r="AF90"/>
  <c r="AD90"/>
  <c r="G4" i="20"/>
  <c r="D11" i="29"/>
  <c r="C11"/>
  <c r="D53"/>
  <c r="D52"/>
  <c r="D49"/>
  <c r="D48"/>
  <c r="C22"/>
  <c r="D22" s="1"/>
  <c r="C5"/>
  <c r="D5"/>
  <c r="I60" i="21"/>
  <c r="F6" i="31"/>
  <c r="E15"/>
  <c r="B116" i="20"/>
  <c r="B115"/>
  <c r="B114"/>
  <c r="B112"/>
  <c r="B111"/>
  <c r="B109"/>
  <c r="B102"/>
  <c r="B100"/>
  <c r="B99"/>
  <c r="B92"/>
  <c r="B90"/>
  <c r="B82"/>
  <c r="B81"/>
  <c r="B71"/>
  <c r="B70"/>
  <c r="B63"/>
  <c r="B61"/>
  <c r="B54"/>
  <c r="B52"/>
  <c r="B50"/>
  <c r="B47"/>
  <c r="B45"/>
  <c r="B43"/>
  <c r="B39"/>
  <c r="B37"/>
  <c r="B29"/>
  <c r="B23"/>
  <c r="B22"/>
  <c r="B14"/>
  <c r="B7"/>
  <c r="F8" i="31"/>
  <c r="G8"/>
  <c r="F9"/>
  <c r="G9"/>
  <c r="F10"/>
  <c r="G10"/>
  <c r="F11"/>
  <c r="G11"/>
  <c r="F12"/>
  <c r="G12"/>
  <c r="F13"/>
  <c r="G13"/>
  <c r="F14"/>
  <c r="G14"/>
  <c r="G7"/>
  <c r="F7"/>
  <c r="F4"/>
  <c r="E4"/>
  <c r="W148" i="1"/>
  <c r="Q116" l="1"/>
  <c r="E19" i="29"/>
  <c r="Q118" i="1" s="1"/>
  <c r="R27"/>
  <c r="P42"/>
  <c r="B8" i="35" s="1"/>
  <c r="G9" i="36"/>
  <c r="C9" i="32"/>
  <c r="C10" s="1"/>
  <c r="E29" i="29"/>
  <c r="E34" s="1"/>
  <c r="W28" i="1"/>
  <c r="S27"/>
  <c r="G6" i="31"/>
  <c r="C15"/>
  <c r="F15"/>
  <c r="C21" i="24"/>
  <c r="C20"/>
  <c r="C54" i="22"/>
  <c r="C56" s="1"/>
  <c r="C59" s="1"/>
  <c r="C43"/>
  <c r="C45" s="1"/>
  <c r="C48" s="1"/>
  <c r="C36"/>
  <c r="C35"/>
  <c r="C33"/>
  <c r="C21"/>
  <c r="C27" s="1"/>
  <c r="C19"/>
  <c r="C16"/>
  <c r="I32" i="21"/>
  <c r="I14" s="1"/>
  <c r="G10" i="36" l="1"/>
  <c r="G11" s="1"/>
  <c r="G42"/>
  <c r="R42" i="1"/>
  <c r="AD97"/>
  <c r="AF97"/>
  <c r="AE97"/>
  <c r="C51" i="22"/>
  <c r="C52" s="1"/>
  <c r="C20"/>
  <c r="C28" s="1"/>
  <c r="C29" s="1"/>
  <c r="C38"/>
  <c r="C41" s="1"/>
  <c r="G14" i="21"/>
  <c r="R117" i="1"/>
  <c r="C44" i="29"/>
  <c r="C4"/>
  <c r="W120" i="1"/>
  <c r="S120"/>
  <c r="R120"/>
  <c r="W125"/>
  <c r="S125"/>
  <c r="V126"/>
  <c r="K78" i="20" s="1"/>
  <c r="U126" i="1"/>
  <c r="J78" i="20" s="1"/>
  <c r="AJ124" i="1"/>
  <c r="AI124"/>
  <c r="AH124"/>
  <c r="W124"/>
  <c r="S124"/>
  <c r="W123"/>
  <c r="S123"/>
  <c r="W122"/>
  <c r="S122"/>
  <c r="W121"/>
  <c r="W119"/>
  <c r="W118"/>
  <c r="W117"/>
  <c r="S117"/>
  <c r="C15" i="29" l="1"/>
  <c r="C61" i="22"/>
  <c r="C22"/>
  <c r="C55" i="29"/>
  <c r="AH126" i="1"/>
  <c r="D55" i="29"/>
  <c r="R125" i="1"/>
  <c r="R122"/>
  <c r="W116"/>
  <c r="R123"/>
  <c r="R124"/>
  <c r="W126"/>
  <c r="AI126"/>
  <c r="AJ126"/>
  <c r="S116"/>
  <c r="H148"/>
  <c r="E44" i="29"/>
  <c r="D44"/>
  <c r="I61" i="21"/>
  <c r="I48"/>
  <c r="I26"/>
  <c r="I28" s="1"/>
  <c r="C19" i="29" l="1"/>
  <c r="C20" s="1"/>
  <c r="C32" s="1"/>
  <c r="C33" s="1"/>
  <c r="C38" s="1"/>
  <c r="C39" s="1"/>
  <c r="E55"/>
  <c r="I33" i="21"/>
  <c r="I38" s="1"/>
  <c r="D15" i="29"/>
  <c r="D19" s="1"/>
  <c r="D4"/>
  <c r="E20" l="1"/>
  <c r="E45" s="1"/>
  <c r="C45"/>
  <c r="C46" s="1"/>
  <c r="C57" s="1"/>
  <c r="S118" i="1" l="1"/>
  <c r="D7" i="24"/>
  <c r="C7"/>
  <c r="E32" i="29"/>
  <c r="E33" s="1"/>
  <c r="E35" s="1"/>
  <c r="E36" s="1"/>
  <c r="E38"/>
  <c r="Q119" i="1" s="1"/>
  <c r="E46" i="29"/>
  <c r="Q121" i="1" s="1"/>
  <c r="R116"/>
  <c r="D20" i="29"/>
  <c r="R118" i="1"/>
  <c r="Q126" l="1"/>
  <c r="F78" i="20" s="1"/>
  <c r="S119" i="1"/>
  <c r="C8" i="24"/>
  <c r="E57" i="29"/>
  <c r="I59" s="1"/>
  <c r="D45"/>
  <c r="D46" s="1"/>
  <c r="D32"/>
  <c r="D33" s="1"/>
  <c r="D38" s="1"/>
  <c r="R119" i="1" s="1"/>
  <c r="D57" i="29" l="1"/>
  <c r="P126" i="1"/>
  <c r="E78" i="20" s="1"/>
  <c r="D39" i="29"/>
  <c r="AE126" i="1" l="1"/>
  <c r="AD126"/>
  <c r="AF126"/>
  <c r="Q148"/>
  <c r="AK185"/>
  <c r="AG185"/>
  <c r="AK184"/>
  <c r="AG184"/>
  <c r="AK183"/>
  <c r="AG183"/>
  <c r="AK182"/>
  <c r="AG182"/>
  <c r="AK180"/>
  <c r="AK168"/>
  <c r="AK170"/>
  <c r="AK172"/>
  <c r="AK173"/>
  <c r="AK174"/>
  <c r="AK176"/>
  <c r="AG170"/>
  <c r="AG173"/>
  <c r="AG176"/>
  <c r="AK166"/>
  <c r="AH160"/>
  <c r="AD160"/>
  <c r="AH156"/>
  <c r="AK151"/>
  <c r="AF159"/>
  <c r="AE159"/>
  <c r="AD159"/>
  <c r="AF154"/>
  <c r="AE154"/>
  <c r="AD154"/>
  <c r="AF150"/>
  <c r="AE150"/>
  <c r="AD150"/>
  <c r="AJ145"/>
  <c r="AI145"/>
  <c r="AI159" s="1"/>
  <c r="AH145"/>
  <c r="AH144"/>
  <c r="AI143"/>
  <c r="AH141"/>
  <c r="AH140"/>
  <c r="AH139"/>
  <c r="AH138"/>
  <c r="AH137"/>
  <c r="AH135"/>
  <c r="AH133"/>
  <c r="AD137"/>
  <c r="AI129"/>
  <c r="AI112"/>
  <c r="AJ112"/>
  <c r="AH112"/>
  <c r="AH97"/>
  <c r="AH95"/>
  <c r="AH94"/>
  <c r="AH92"/>
  <c r="AH91"/>
  <c r="AH90"/>
  <c r="AH85"/>
  <c r="AH84"/>
  <c r="AI83"/>
  <c r="AI82"/>
  <c r="AH81"/>
  <c r="AH79"/>
  <c r="AD85"/>
  <c r="AD84"/>
  <c r="AF83"/>
  <c r="AF82"/>
  <c r="AD81"/>
  <c r="AD79"/>
  <c r="AJ42"/>
  <c r="AH73"/>
  <c r="AH71"/>
  <c r="AD73"/>
  <c r="AD71"/>
  <c r="AJ76"/>
  <c r="AF76"/>
  <c r="AI68"/>
  <c r="AE68"/>
  <c r="AE58"/>
  <c r="AH65"/>
  <c r="AH64"/>
  <c r="AH63"/>
  <c r="AD64"/>
  <c r="AD65"/>
  <c r="AD63"/>
  <c r="AI48"/>
  <c r="AI50"/>
  <c r="AI52"/>
  <c r="AI54"/>
  <c r="AI56"/>
  <c r="AI58"/>
  <c r="AE48"/>
  <c r="AE50"/>
  <c r="AE52"/>
  <c r="AE54"/>
  <c r="AE56"/>
  <c r="AE46"/>
  <c r="AI46"/>
  <c r="AH3"/>
  <c r="AD3"/>
  <c r="C69" i="20"/>
  <c r="E69"/>
  <c r="F69"/>
  <c r="J69"/>
  <c r="K69"/>
  <c r="V98" i="1"/>
  <c r="U98"/>
  <c r="Q98"/>
  <c r="P98"/>
  <c r="W96"/>
  <c r="S96"/>
  <c r="R96"/>
  <c r="C9" i="20"/>
  <c r="E9"/>
  <c r="F9"/>
  <c r="H9" s="1"/>
  <c r="J9"/>
  <c r="K9"/>
  <c r="L9" s="1"/>
  <c r="W9" i="1"/>
  <c r="S9"/>
  <c r="R9"/>
  <c r="C12" i="24"/>
  <c r="R135" i="1"/>
  <c r="W140"/>
  <c r="W135"/>
  <c r="G43" i="22"/>
  <c r="E43"/>
  <c r="E45" s="1"/>
  <c r="E48" s="1"/>
  <c r="E35"/>
  <c r="E36"/>
  <c r="E19"/>
  <c r="E6"/>
  <c r="E14" s="1"/>
  <c r="E16" s="1"/>
  <c r="C104" i="20"/>
  <c r="E104"/>
  <c r="F104"/>
  <c r="H104" s="1"/>
  <c r="J104"/>
  <c r="K104"/>
  <c r="L104" s="1"/>
  <c r="P148" i="1"/>
  <c r="G60" i="21"/>
  <c r="AG148" i="1" l="1"/>
  <c r="AF148"/>
  <c r="AE148"/>
  <c r="AD148"/>
  <c r="AH155"/>
  <c r="AJ157"/>
  <c r="H69" i="20"/>
  <c r="L69"/>
  <c r="AG174" i="1"/>
  <c r="G69" i="20"/>
  <c r="G9"/>
  <c r="G104"/>
  <c r="AH154" i="1"/>
  <c r="R121"/>
  <c r="R126" s="1"/>
  <c r="S121"/>
  <c r="AI157"/>
  <c r="AI148"/>
  <c r="AI154"/>
  <c r="C14" i="24"/>
  <c r="AH148" i="1"/>
  <c r="AH159"/>
  <c r="AH157"/>
  <c r="E51" i="22"/>
  <c r="E52" s="1"/>
  <c r="AJ150" i="1"/>
  <c r="AJ155"/>
  <c r="AI158"/>
  <c r="AJ158"/>
  <c r="AI150"/>
  <c r="AI155"/>
  <c r="AH158"/>
  <c r="AJ159"/>
  <c r="AJ148"/>
  <c r="AH150"/>
  <c r="AJ154"/>
  <c r="AD135"/>
  <c r="S135"/>
  <c r="E21" i="22"/>
  <c r="E27" s="1"/>
  <c r="E20"/>
  <c r="E28" s="1"/>
  <c r="E54"/>
  <c r="E56" s="1"/>
  <c r="E59" s="1"/>
  <c r="P156" i="1" s="1"/>
  <c r="AD156" s="1"/>
  <c r="E31" i="22"/>
  <c r="E33" s="1"/>
  <c r="E38" s="1"/>
  <c r="E41" s="1"/>
  <c r="G26" i="21"/>
  <c r="G28" s="1"/>
  <c r="G33" s="1"/>
  <c r="D26"/>
  <c r="W111" i="1"/>
  <c r="D61" i="21"/>
  <c r="E61"/>
  <c r="F61"/>
  <c r="G61"/>
  <c r="C61"/>
  <c r="H60"/>
  <c r="H61" s="1"/>
  <c r="H39"/>
  <c r="H16"/>
  <c r="H48"/>
  <c r="E4"/>
  <c r="E48"/>
  <c r="E24"/>
  <c r="E26" s="1"/>
  <c r="E28" s="1"/>
  <c r="E14"/>
  <c r="D50"/>
  <c r="D48"/>
  <c r="F48"/>
  <c r="G48"/>
  <c r="C48"/>
  <c r="Q140" i="1" l="1"/>
  <c r="S140" s="1"/>
  <c r="AD139"/>
  <c r="Q139"/>
  <c r="S126"/>
  <c r="AD140"/>
  <c r="E22" i="22"/>
  <c r="E29"/>
  <c r="Q138" i="1" s="1"/>
  <c r="R111"/>
  <c r="S111"/>
  <c r="E33" i="21"/>
  <c r="D33"/>
  <c r="D51" s="1"/>
  <c r="D6"/>
  <c r="D9"/>
  <c r="D14"/>
  <c r="C14"/>
  <c r="F14"/>
  <c r="F24"/>
  <c r="F26" s="1"/>
  <c r="F28" s="1"/>
  <c r="G38"/>
  <c r="C9"/>
  <c r="C24" s="1"/>
  <c r="C26" s="1"/>
  <c r="C28" s="1"/>
  <c r="B6"/>
  <c r="AE143" i="1"/>
  <c r="AG180"/>
  <c r="AG172"/>
  <c r="AG168"/>
  <c r="AG166"/>
  <c r="Q157"/>
  <c r="H157"/>
  <c r="M144"/>
  <c r="N144" s="1"/>
  <c r="O144" s="1"/>
  <c r="W194"/>
  <c r="S194"/>
  <c r="R194"/>
  <c r="L148"/>
  <c r="W150"/>
  <c r="S150"/>
  <c r="R150"/>
  <c r="R140" l="1"/>
  <c r="AD138"/>
  <c r="E61" i="22"/>
  <c r="P62" s="1"/>
  <c r="P63" s="1"/>
  <c r="D38" i="21"/>
  <c r="H19"/>
  <c r="H21" s="1"/>
  <c r="F33"/>
  <c r="F50"/>
  <c r="E38"/>
  <c r="E51"/>
  <c r="C33"/>
  <c r="C50"/>
  <c r="B7"/>
  <c r="S148" i="1"/>
  <c r="K107" i="20"/>
  <c r="J107"/>
  <c r="F107"/>
  <c r="E107"/>
  <c r="E62" i="22" l="1"/>
  <c r="E63" s="1"/>
  <c r="G107" i="20"/>
  <c r="L107"/>
  <c r="H49" i="21"/>
  <c r="H52" s="1"/>
  <c r="G4"/>
  <c r="G7" s="1"/>
  <c r="G11" s="1"/>
  <c r="I11" s="1"/>
  <c r="I12" s="1"/>
  <c r="C4"/>
  <c r="C7" s="1"/>
  <c r="D4"/>
  <c r="D7" s="1"/>
  <c r="D11" s="1"/>
  <c r="C38"/>
  <c r="C51"/>
  <c r="F38"/>
  <c r="F51"/>
  <c r="H107" i="20"/>
  <c r="R148" i="1"/>
  <c r="H53" i="21" l="1"/>
  <c r="H63" s="1"/>
  <c r="L11"/>
  <c r="I16"/>
  <c r="D16"/>
  <c r="D19" s="1"/>
  <c r="D21" s="1"/>
  <c r="G16"/>
  <c r="C11"/>
  <c r="C16" s="1"/>
  <c r="F11"/>
  <c r="F16" s="1"/>
  <c r="P4" l="1"/>
  <c r="M4"/>
  <c r="M7" s="1"/>
  <c r="M11" s="1"/>
  <c r="N4"/>
  <c r="N7" s="1"/>
  <c r="O4"/>
  <c r="O7" s="1"/>
  <c r="O11" s="1"/>
  <c r="I19"/>
  <c r="L16"/>
  <c r="D36"/>
  <c r="D37" s="1"/>
  <c r="D49"/>
  <c r="D52" s="1"/>
  <c r="D53" s="1"/>
  <c r="G19"/>
  <c r="C19"/>
  <c r="C21" s="1"/>
  <c r="F19"/>
  <c r="F21" s="1"/>
  <c r="W157" i="1"/>
  <c r="P7" i="21" l="1"/>
  <c r="P11" s="1"/>
  <c r="P16" s="1"/>
  <c r="P19" s="1"/>
  <c r="P21" s="1"/>
  <c r="M12"/>
  <c r="M16"/>
  <c r="M19" s="1"/>
  <c r="M21" s="1"/>
  <c r="O16"/>
  <c r="O19" s="1"/>
  <c r="O21" s="1"/>
  <c r="L12"/>
  <c r="L19"/>
  <c r="L21" s="1"/>
  <c r="I21"/>
  <c r="I42" s="1"/>
  <c r="G21"/>
  <c r="G49" s="1"/>
  <c r="G52" s="1"/>
  <c r="G53" s="1"/>
  <c r="D39"/>
  <c r="D40" s="1"/>
  <c r="D41" s="1"/>
  <c r="F36"/>
  <c r="F37" s="1"/>
  <c r="F39" s="1"/>
  <c r="F49"/>
  <c r="F52" s="1"/>
  <c r="F53" s="1"/>
  <c r="C36"/>
  <c r="C37" s="1"/>
  <c r="C39" s="1"/>
  <c r="C49"/>
  <c r="C52" s="1"/>
  <c r="C53" s="1"/>
  <c r="F63" l="1"/>
  <c r="F67" s="1"/>
  <c r="D63"/>
  <c r="D67" s="1"/>
  <c r="G78" i="20"/>
  <c r="P12" i="21"/>
  <c r="O36"/>
  <c r="O37" s="1"/>
  <c r="O39" s="1"/>
  <c r="O40" s="1"/>
  <c r="O49"/>
  <c r="O52" s="1"/>
  <c r="O53" s="1"/>
  <c r="O42"/>
  <c r="P36"/>
  <c r="P37" s="1"/>
  <c r="P39" s="1"/>
  <c r="P40" s="1"/>
  <c r="P42"/>
  <c r="P49"/>
  <c r="P52" s="1"/>
  <c r="P53" s="1"/>
  <c r="M49"/>
  <c r="M52" s="1"/>
  <c r="M53" s="1"/>
  <c r="M36"/>
  <c r="M37" s="1"/>
  <c r="M39" s="1"/>
  <c r="M40" s="1"/>
  <c r="M42"/>
  <c r="L49"/>
  <c r="L52" s="1"/>
  <c r="L53" s="1"/>
  <c r="L36"/>
  <c r="L37" s="1"/>
  <c r="L39" s="1"/>
  <c r="L40" s="1"/>
  <c r="L42"/>
  <c r="I36"/>
  <c r="I37" s="1"/>
  <c r="I39" s="1"/>
  <c r="I49"/>
  <c r="I52" s="1"/>
  <c r="I53" s="1"/>
  <c r="C63"/>
  <c r="C67" s="1"/>
  <c r="G36"/>
  <c r="C40"/>
  <c r="C41" s="1"/>
  <c r="F40"/>
  <c r="F41" s="1"/>
  <c r="W197" i="1"/>
  <c r="S197"/>
  <c r="W107"/>
  <c r="S108"/>
  <c r="W106"/>
  <c r="S106"/>
  <c r="R106"/>
  <c r="L63" i="21" l="1"/>
  <c r="H78" i="20"/>
  <c r="M63" i="21"/>
  <c r="P63"/>
  <c r="O63"/>
  <c r="I40"/>
  <c r="I63"/>
  <c r="G37"/>
  <c r="G39" s="1"/>
  <c r="G42" s="1"/>
  <c r="W108" i="1"/>
  <c r="R197"/>
  <c r="R108"/>
  <c r="M64" i="21" l="1"/>
  <c r="M65" s="1"/>
  <c r="P64"/>
  <c r="P65" s="1"/>
  <c r="G63"/>
  <c r="G40"/>
  <c r="L153" i="1"/>
  <c r="X153" s="1"/>
  <c r="L152"/>
  <c r="L151"/>
  <c r="L157"/>
  <c r="H151"/>
  <c r="F151" s="1"/>
  <c r="L129"/>
  <c r="F129"/>
  <c r="X129" s="1"/>
  <c r="C11" i="24" l="1"/>
  <c r="I64" i="21"/>
  <c r="I65" s="1"/>
  <c r="X152" i="1"/>
  <c r="C13" i="24"/>
  <c r="AE129" i="1"/>
  <c r="P151"/>
  <c r="M98"/>
  <c r="I98"/>
  <c r="E98"/>
  <c r="X4"/>
  <c r="U2"/>
  <c r="R3"/>
  <c r="Q3"/>
  <c r="H4" i="36" s="1"/>
  <c r="P3" i="1"/>
  <c r="H16" i="36" l="1"/>
  <c r="H34"/>
  <c r="G4"/>
  <c r="F4"/>
  <c r="AG151" i="1"/>
  <c r="G104"/>
  <c r="W139"/>
  <c r="S139"/>
  <c r="G34" i="36" l="1"/>
  <c r="G16"/>
  <c r="F34"/>
  <c r="F16"/>
  <c r="AF157" i="1"/>
  <c r="AE157"/>
  <c r="AD157"/>
  <c r="R139"/>
  <c r="S157" l="1"/>
  <c r="R157"/>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5"/>
  <c r="C106"/>
  <c r="C108"/>
  <c r="C103"/>
  <c r="P144" i="1"/>
  <c r="AD144" s="1"/>
  <c r="AD141"/>
  <c r="AD133"/>
  <c r="G105" l="1"/>
  <c r="G106" s="1"/>
  <c r="W193"/>
  <c r="Q199" l="1"/>
  <c r="K103" i="20" l="1"/>
  <c r="J103"/>
  <c r="F103"/>
  <c r="S193" i="1"/>
  <c r="E103" i="20" l="1"/>
  <c r="G103" s="1"/>
  <c r="R193" i="1"/>
  <c r="Q39" l="1"/>
  <c r="Q40"/>
  <c r="Q177"/>
  <c r="Q189"/>
  <c r="Q145"/>
  <c r="Q158" s="1"/>
  <c r="Q130"/>
  <c r="Q87"/>
  <c r="Q74"/>
  <c r="Q66"/>
  <c r="Q190" l="1"/>
  <c r="D11" i="35" s="1"/>
  <c r="J3" i="20"/>
  <c r="Q161" i="1" l="1"/>
  <c r="K11" i="20"/>
  <c r="K12"/>
  <c r="J11"/>
  <c r="J12"/>
  <c r="E59"/>
  <c r="F59"/>
  <c r="J59"/>
  <c r="K59"/>
  <c r="G59" l="1"/>
  <c r="H59"/>
  <c r="L59"/>
  <c r="W84" i="1"/>
  <c r="S84"/>
  <c r="R84" l="1"/>
  <c r="E35" i="20" l="1"/>
  <c r="F35"/>
  <c r="J35"/>
  <c r="K35"/>
  <c r="G35" l="1"/>
  <c r="L35"/>
  <c r="H35"/>
  <c r="R198" i="1"/>
  <c r="R196"/>
  <c r="R195"/>
  <c r="R188"/>
  <c r="R185"/>
  <c r="R184"/>
  <c r="R183"/>
  <c r="R182"/>
  <c r="R180"/>
  <c r="R176"/>
  <c r="R174"/>
  <c r="R173"/>
  <c r="R172"/>
  <c r="R170"/>
  <c r="R168"/>
  <c r="R166"/>
  <c r="R160"/>
  <c r="R156"/>
  <c r="R154"/>
  <c r="R144"/>
  <c r="R143"/>
  <c r="R137"/>
  <c r="R133"/>
  <c r="R129"/>
  <c r="R112"/>
  <c r="R110"/>
  <c r="R104"/>
  <c r="R92"/>
  <c r="R91"/>
  <c r="R90"/>
  <c r="R83"/>
  <c r="R82"/>
  <c r="R76"/>
  <c r="R73"/>
  <c r="R71"/>
  <c r="R68"/>
  <c r="R64"/>
  <c r="R63"/>
  <c r="R56"/>
  <c r="R54"/>
  <c r="R52"/>
  <c r="R50"/>
  <c r="R48"/>
  <c r="R177" l="1"/>
  <c r="R189"/>
  <c r="R74"/>
  <c r="R199"/>
  <c r="R190" l="1"/>
  <c r="S56" l="1"/>
  <c r="W56"/>
  <c r="F4" i="20" l="1"/>
  <c r="E4"/>
  <c r="K4"/>
  <c r="J4"/>
  <c r="W68" i="1"/>
  <c r="S68"/>
  <c r="K45" i="20"/>
  <c r="J45"/>
  <c r="F45"/>
  <c r="E45"/>
  <c r="G45" l="1"/>
  <c r="H45"/>
  <c r="L45"/>
  <c r="K108" l="1"/>
  <c r="K105"/>
  <c r="K98"/>
  <c r="K97"/>
  <c r="K96"/>
  <c r="K95"/>
  <c r="K94"/>
  <c r="K93"/>
  <c r="K89"/>
  <c r="K88"/>
  <c r="K87"/>
  <c r="K86"/>
  <c r="K85"/>
  <c r="K84"/>
  <c r="K83"/>
  <c r="K68"/>
  <c r="K67"/>
  <c r="K66"/>
  <c r="K65"/>
  <c r="K64"/>
  <c r="K60"/>
  <c r="K58"/>
  <c r="K57"/>
  <c r="K52"/>
  <c r="K49"/>
  <c r="K48"/>
  <c r="K42"/>
  <c r="K41"/>
  <c r="K40"/>
  <c r="K36"/>
  <c r="K34"/>
  <c r="K32"/>
  <c r="K31"/>
  <c r="K30"/>
  <c r="K26"/>
  <c r="K17"/>
  <c r="K13"/>
  <c r="K10"/>
  <c r="K8"/>
  <c r="J106"/>
  <c r="J105"/>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110" i="1"/>
  <c r="S110"/>
  <c r="J70" i="20" l="1"/>
  <c r="K70"/>
  <c r="K50"/>
  <c r="J90"/>
  <c r="J37"/>
  <c r="J14"/>
  <c r="J43"/>
  <c r="K90"/>
  <c r="K99"/>
  <c r="J50"/>
  <c r="J99"/>
  <c r="K14"/>
  <c r="K43"/>
  <c r="J100" l="1"/>
  <c r="K100"/>
  <c r="R94" i="1"/>
  <c r="R95"/>
  <c r="R80"/>
  <c r="R85"/>
  <c r="R79"/>
  <c r="R65"/>
  <c r="R58"/>
  <c r="W105"/>
  <c r="R98" l="1"/>
  <c r="R66"/>
  <c r="R87"/>
  <c r="F31" i="20"/>
  <c r="F32"/>
  <c r="F33"/>
  <c r="F34"/>
  <c r="F36"/>
  <c r="F40"/>
  <c r="F41"/>
  <c r="F42"/>
  <c r="F48"/>
  <c r="F49"/>
  <c r="F52"/>
  <c r="F55"/>
  <c r="F56"/>
  <c r="F57"/>
  <c r="F58"/>
  <c r="F60"/>
  <c r="F64"/>
  <c r="F65"/>
  <c r="F66"/>
  <c r="F67"/>
  <c r="F68"/>
  <c r="F83"/>
  <c r="F84"/>
  <c r="F85"/>
  <c r="F86"/>
  <c r="F87"/>
  <c r="F88"/>
  <c r="F89"/>
  <c r="F93"/>
  <c r="F94"/>
  <c r="F95"/>
  <c r="F96"/>
  <c r="F97"/>
  <c r="F98"/>
  <c r="F105"/>
  <c r="F106"/>
  <c r="F108"/>
  <c r="F17"/>
  <c r="P155" i="1"/>
  <c r="AD155" l="1"/>
  <c r="AE155"/>
  <c r="AF155"/>
  <c r="F70" i="20"/>
  <c r="R155" i="1"/>
  <c r="F43" i="20"/>
  <c r="F109"/>
  <c r="F61"/>
  <c r="F50"/>
  <c r="F90"/>
  <c r="F99"/>
  <c r="F100" l="1"/>
  <c r="E108" l="1"/>
  <c r="H108" s="1"/>
  <c r="E106"/>
  <c r="E105"/>
  <c r="G105" s="1"/>
  <c r="E97"/>
  <c r="G97" s="1"/>
  <c r="E96"/>
  <c r="G96" s="1"/>
  <c r="E95"/>
  <c r="G95" s="1"/>
  <c r="E94"/>
  <c r="G94" s="1"/>
  <c r="E93"/>
  <c r="G93" s="1"/>
  <c r="E84"/>
  <c r="G84" s="1"/>
  <c r="E85"/>
  <c r="G85" s="1"/>
  <c r="E86"/>
  <c r="E87"/>
  <c r="G87" s="1"/>
  <c r="E88"/>
  <c r="G88" s="1"/>
  <c r="E89"/>
  <c r="G89" s="1"/>
  <c r="E83"/>
  <c r="G83" s="1"/>
  <c r="E68"/>
  <c r="G68" s="1"/>
  <c r="E67"/>
  <c r="G67" s="1"/>
  <c r="E66"/>
  <c r="G66" s="1"/>
  <c r="E65"/>
  <c r="G65" s="1"/>
  <c r="E64"/>
  <c r="G64" s="1"/>
  <c r="E60"/>
  <c r="G60" s="1"/>
  <c r="E58"/>
  <c r="G58" s="1"/>
  <c r="E56"/>
  <c r="G56" s="1"/>
  <c r="E55"/>
  <c r="G55" s="1"/>
  <c r="E52"/>
  <c r="G52" s="1"/>
  <c r="E49"/>
  <c r="G49" s="1"/>
  <c r="E48"/>
  <c r="G48" s="1"/>
  <c r="E42"/>
  <c r="G42" s="1"/>
  <c r="E41"/>
  <c r="G41" s="1"/>
  <c r="E40"/>
  <c r="G40" s="1"/>
  <c r="E31"/>
  <c r="G31" s="1"/>
  <c r="E32"/>
  <c r="G32" s="1"/>
  <c r="E33"/>
  <c r="G33" s="1"/>
  <c r="E34"/>
  <c r="G34" s="1"/>
  <c r="E36"/>
  <c r="G36" s="1"/>
  <c r="L98"/>
  <c r="L12"/>
  <c r="G43" l="1"/>
  <c r="H86"/>
  <c r="G86"/>
  <c r="G90" s="1"/>
  <c r="G50"/>
  <c r="G70"/>
  <c r="G99"/>
  <c r="H106"/>
  <c r="G106"/>
  <c r="G109" s="1"/>
  <c r="E70"/>
  <c r="E50"/>
  <c r="H42"/>
  <c r="H56"/>
  <c r="L13"/>
  <c r="H96"/>
  <c r="H84"/>
  <c r="H88"/>
  <c r="H40"/>
  <c r="H41"/>
  <c r="H60"/>
  <c r="H105"/>
  <c r="E90"/>
  <c r="E109"/>
  <c r="H94"/>
  <c r="H85"/>
  <c r="H89"/>
  <c r="H95"/>
  <c r="H93"/>
  <c r="H97"/>
  <c r="H87"/>
  <c r="H31"/>
  <c r="H36"/>
  <c r="H67"/>
  <c r="H52"/>
  <c r="H32"/>
  <c r="H58"/>
  <c r="H68"/>
  <c r="L32"/>
  <c r="H49"/>
  <c r="H65"/>
  <c r="E43"/>
  <c r="H66"/>
  <c r="H34"/>
  <c r="H33"/>
  <c r="L10"/>
  <c r="H103"/>
  <c r="H48"/>
  <c r="L89"/>
  <c r="L34"/>
  <c r="H55"/>
  <c r="H83"/>
  <c r="H64"/>
  <c r="E57"/>
  <c r="H57" l="1"/>
  <c r="G57"/>
  <c r="G61" s="1"/>
  <c r="G100"/>
  <c r="H50"/>
  <c r="H109"/>
  <c r="E61"/>
  <c r="H70"/>
  <c r="H43"/>
  <c r="H90"/>
  <c r="H61" l="1"/>
  <c r="E98" l="1"/>
  <c r="E99" l="1"/>
  <c r="E100" s="1"/>
  <c r="H100" s="1"/>
  <c r="H98"/>
  <c r="W156" i="1"/>
  <c r="S156"/>
  <c r="H99" i="20" l="1"/>
  <c r="E17" l="1"/>
  <c r="R17" i="1"/>
  <c r="H17" i="20" l="1"/>
  <c r="G17"/>
  <c r="R151" i="1"/>
  <c r="R141" l="1"/>
  <c r="R138"/>
  <c r="R145" l="1"/>
  <c r="R130"/>
  <c r="P40" l="1"/>
  <c r="R40" s="1"/>
  <c r="P39"/>
  <c r="R39" s="1"/>
  <c r="L11" i="20" l="1"/>
  <c r="L57"/>
  <c r="L26"/>
  <c r="K55"/>
  <c r="K56"/>
  <c r="K106"/>
  <c r="J55"/>
  <c r="J56"/>
  <c r="J19"/>
  <c r="J22" s="1"/>
  <c r="J23" s="1"/>
  <c r="J114" s="1"/>
  <c r="J108"/>
  <c r="L108" s="1"/>
  <c r="L56" l="1"/>
  <c r="J109"/>
  <c r="J61"/>
  <c r="J71" s="1"/>
  <c r="K61"/>
  <c r="L55"/>
  <c r="K109"/>
  <c r="L103"/>
  <c r="L8"/>
  <c r="L14"/>
  <c r="L105" l="1"/>
  <c r="L109"/>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4"/>
  <c r="L114" s="1"/>
  <c r="L43"/>
  <c r="L71"/>
  <c r="V74" i="1" l="1"/>
  <c r="U74"/>
  <c r="P74"/>
  <c r="W73"/>
  <c r="S73"/>
  <c r="W71"/>
  <c r="S71"/>
  <c r="W74" l="1"/>
  <c r="S74"/>
  <c r="S198" l="1"/>
  <c r="S196"/>
  <c r="S195"/>
  <c r="S188"/>
  <c r="S185"/>
  <c r="S184"/>
  <c r="S183"/>
  <c r="S182"/>
  <c r="S180"/>
  <c r="S176"/>
  <c r="S174"/>
  <c r="S173"/>
  <c r="S172"/>
  <c r="S170"/>
  <c r="S168"/>
  <c r="S166"/>
  <c r="S160"/>
  <c r="S155"/>
  <c r="S154"/>
  <c r="S151"/>
  <c r="S144"/>
  <c r="S138"/>
  <c r="S137"/>
  <c r="S133"/>
  <c r="S129"/>
  <c r="S112"/>
  <c r="S104"/>
  <c r="S95"/>
  <c r="S94"/>
  <c r="S92"/>
  <c r="S91"/>
  <c r="S90"/>
  <c r="S85"/>
  <c r="S83"/>
  <c r="S82"/>
  <c r="S80"/>
  <c r="S79"/>
  <c r="S76"/>
  <c r="S65"/>
  <c r="S64"/>
  <c r="S63"/>
  <c r="S58"/>
  <c r="S54"/>
  <c r="S52"/>
  <c r="S50"/>
  <c r="S48"/>
  <c r="S17"/>
  <c r="W7"/>
  <c r="W198"/>
  <c r="W195"/>
  <c r="W188"/>
  <c r="W185"/>
  <c r="W184"/>
  <c r="W183"/>
  <c r="W182"/>
  <c r="W180"/>
  <c r="W176"/>
  <c r="W174"/>
  <c r="W173"/>
  <c r="W172"/>
  <c r="W170"/>
  <c r="W168"/>
  <c r="W166"/>
  <c r="W160"/>
  <c r="W159"/>
  <c r="W158"/>
  <c r="W155"/>
  <c r="W154"/>
  <c r="W151"/>
  <c r="W144"/>
  <c r="W138"/>
  <c r="W137"/>
  <c r="W133"/>
  <c r="W129"/>
  <c r="W112"/>
  <c r="W109"/>
  <c r="W104"/>
  <c r="W95"/>
  <c r="W94"/>
  <c r="W92"/>
  <c r="W91"/>
  <c r="W90"/>
  <c r="W85"/>
  <c r="W83"/>
  <c r="W82"/>
  <c r="W80"/>
  <c r="W79"/>
  <c r="W76"/>
  <c r="W65"/>
  <c r="W64"/>
  <c r="W63"/>
  <c r="W58"/>
  <c r="W54"/>
  <c r="W52"/>
  <c r="W50"/>
  <c r="W48"/>
  <c r="W46"/>
  <c r="W42"/>
  <c r="W21"/>
  <c r="W20"/>
  <c r="W19"/>
  <c r="W18"/>
  <c r="W17"/>
  <c r="W13"/>
  <c r="W12"/>
  <c r="W11"/>
  <c r="W10"/>
  <c r="V14"/>
  <c r="V22"/>
  <c r="V60"/>
  <c r="V66"/>
  <c r="V87"/>
  <c r="V130"/>
  <c r="V161"/>
  <c r="V177"/>
  <c r="V189"/>
  <c r="V199"/>
  <c r="U199"/>
  <c r="U189"/>
  <c r="U177"/>
  <c r="U161"/>
  <c r="U145"/>
  <c r="J75" i="20" s="1"/>
  <c r="J79" s="1"/>
  <c r="U130" i="1"/>
  <c r="U113"/>
  <c r="U87"/>
  <c r="U66"/>
  <c r="U60"/>
  <c r="U22"/>
  <c r="U14"/>
  <c r="P199"/>
  <c r="P189"/>
  <c r="P177"/>
  <c r="P130"/>
  <c r="P87"/>
  <c r="P66"/>
  <c r="U162" l="1"/>
  <c r="C10" i="35" s="1"/>
  <c r="J111" i="20"/>
  <c r="AI113" i="1"/>
  <c r="AI201" s="1"/>
  <c r="AH113"/>
  <c r="AH201" s="1"/>
  <c r="AJ113"/>
  <c r="AJ201" s="1"/>
  <c r="V99"/>
  <c r="U99"/>
  <c r="C9" i="35" s="1"/>
  <c r="S87" i="1"/>
  <c r="S130"/>
  <c r="U23"/>
  <c r="C5" i="35" s="1"/>
  <c r="S199" i="1"/>
  <c r="S189"/>
  <c r="W130"/>
  <c r="W87"/>
  <c r="W22"/>
  <c r="S66"/>
  <c r="W66"/>
  <c r="W161"/>
  <c r="W14"/>
  <c r="S177"/>
  <c r="W177"/>
  <c r="W189"/>
  <c r="W98"/>
  <c r="W60"/>
  <c r="V190"/>
  <c r="V23"/>
  <c r="V204" s="1"/>
  <c r="U190"/>
  <c r="C11" i="35" s="1"/>
  <c r="P190" i="1"/>
  <c r="B11" i="35" s="1"/>
  <c r="C12" l="1"/>
  <c r="U204" i="1"/>
  <c r="W204" s="1"/>
  <c r="W23"/>
  <c r="S190"/>
  <c r="W99"/>
  <c r="W190"/>
  <c r="C14" i="35" l="1"/>
  <c r="C23" s="1"/>
  <c r="J112" i="20"/>
  <c r="J115"/>
  <c r="J116" s="1"/>
  <c r="F5" i="34" s="1"/>
  <c r="F7" s="1"/>
  <c r="F12" s="1"/>
  <c r="F14" l="1"/>
  <c r="J12"/>
  <c r="V113" i="1" l="1"/>
  <c r="W102"/>
  <c r="AK113" l="1"/>
  <c r="AK201" s="1"/>
  <c r="W113"/>
  <c r="S143" l="1"/>
  <c r="S141"/>
  <c r="P145"/>
  <c r="P158" s="1"/>
  <c r="S145" l="1"/>
  <c r="AE158" l="1"/>
  <c r="AF158"/>
  <c r="AD158"/>
  <c r="W143"/>
  <c r="R159" l="1"/>
  <c r="S159"/>
  <c r="V145"/>
  <c r="V162" s="1"/>
  <c r="W141"/>
  <c r="L78" i="20" l="1"/>
  <c r="K75"/>
  <c r="K79" s="1"/>
  <c r="W145" i="1"/>
  <c r="L75" i="20" l="1"/>
  <c r="L79"/>
  <c r="K111" l="1"/>
  <c r="L111" s="1"/>
  <c r="E10"/>
  <c r="E11"/>
  <c r="E12"/>
  <c r="E13"/>
  <c r="K112" l="1"/>
  <c r="L112" s="1"/>
  <c r="K115"/>
  <c r="K116" s="1"/>
  <c r="L115" l="1"/>
  <c r="S12" i="1"/>
  <c r="F12" i="20"/>
  <c r="R12" i="1"/>
  <c r="S13"/>
  <c r="R13"/>
  <c r="F13" i="20"/>
  <c r="S10" i="1"/>
  <c r="F10" i="20"/>
  <c r="R10" i="1"/>
  <c r="S11"/>
  <c r="F11" i="20"/>
  <c r="R11" i="1"/>
  <c r="H10" i="20" l="1"/>
  <c r="G10"/>
  <c r="H13"/>
  <c r="G13"/>
  <c r="H12"/>
  <c r="G12"/>
  <c r="H11"/>
  <c r="G11"/>
  <c r="P60" i="1"/>
  <c r="E30" i="20"/>
  <c r="S46" i="1"/>
  <c r="F30" i="20"/>
  <c r="F37" s="1"/>
  <c r="Q60" i="1"/>
  <c r="R46"/>
  <c r="R60" s="1"/>
  <c r="R99" s="1"/>
  <c r="E37" i="20" l="1"/>
  <c r="E71" s="1"/>
  <c r="G30"/>
  <c r="G37" s="1"/>
  <c r="G71" s="1"/>
  <c r="S60" i="1"/>
  <c r="Q99"/>
  <c r="H30" i="20"/>
  <c r="F71"/>
  <c r="D9" i="35" l="1"/>
  <c r="H37" i="20"/>
  <c r="H71"/>
  <c r="S158" i="1" l="1"/>
  <c r="R158"/>
  <c r="R161" s="1"/>
  <c r="P161"/>
  <c r="S161" l="1"/>
  <c r="U201" l="1"/>
  <c r="U205" l="1"/>
  <c r="U206" s="1"/>
  <c r="U202"/>
  <c r="V201" l="1"/>
  <c r="W201" s="1"/>
  <c r="W162"/>
  <c r="V205" l="1"/>
  <c r="W205" s="1"/>
  <c r="V202"/>
  <c r="V206" l="1"/>
  <c r="E6" i="21"/>
  <c r="E7" s="1"/>
  <c r="E11" s="1"/>
  <c r="E16" s="1"/>
  <c r="E19" l="1"/>
  <c r="E21" s="1"/>
  <c r="E36" l="1"/>
  <c r="E37" s="1"/>
  <c r="E39" s="1"/>
  <c r="E49"/>
  <c r="E52" s="1"/>
  <c r="E53" s="1"/>
  <c r="E40" l="1"/>
  <c r="E41" s="1"/>
  <c r="E63"/>
  <c r="E67" s="1"/>
  <c r="S98" i="1"/>
  <c r="P99"/>
  <c r="B9" i="35" l="1"/>
  <c r="S99" i="1"/>
  <c r="F8" i="20"/>
  <c r="E8"/>
  <c r="Q14" i="1"/>
  <c r="E14" i="20" l="1"/>
  <c r="G8"/>
  <c r="G14" s="1"/>
  <c r="H8"/>
  <c r="F14"/>
  <c r="P14" i="1"/>
  <c r="S7"/>
  <c r="R7"/>
  <c r="R14" s="1"/>
  <c r="H14" i="20" l="1"/>
  <c r="S14" i="1"/>
  <c r="S21"/>
  <c r="S20"/>
  <c r="S19"/>
  <c r="S18"/>
  <c r="F20" i="20"/>
  <c r="H20" s="1"/>
  <c r="F19"/>
  <c r="H19" s="1"/>
  <c r="F21"/>
  <c r="H21" s="1"/>
  <c r="E19"/>
  <c r="E20"/>
  <c r="G20" s="1"/>
  <c r="R21" i="1"/>
  <c r="E21" i="20"/>
  <c r="F18"/>
  <c r="H18" s="1"/>
  <c r="Q22" i="1"/>
  <c r="Q23" s="1"/>
  <c r="R18"/>
  <c r="D5" i="35" l="1"/>
  <c r="Q44" i="1"/>
  <c r="G19" i="20"/>
  <c r="F22"/>
  <c r="F23" s="1"/>
  <c r="P22" i="1"/>
  <c r="P23" s="1"/>
  <c r="B5" i="35" s="1"/>
  <c r="E18" i="20"/>
  <c r="Q204" i="1"/>
  <c r="Q38"/>
  <c r="Q41" s="1"/>
  <c r="R20"/>
  <c r="R19"/>
  <c r="C42" l="1"/>
  <c r="C26" i="20" s="1"/>
  <c r="E22"/>
  <c r="E23" s="1"/>
  <c r="H23" s="1"/>
  <c r="G18"/>
  <c r="G22" s="1"/>
  <c r="G23" s="1"/>
  <c r="R22" i="1"/>
  <c r="R23" s="1"/>
  <c r="P204"/>
  <c r="P38"/>
  <c r="S22"/>
  <c r="F114" i="20"/>
  <c r="S23" i="1"/>
  <c r="F26" i="20"/>
  <c r="G114" l="1"/>
  <c r="H22"/>
  <c r="E114"/>
  <c r="H114" s="1"/>
  <c r="R204" i="1"/>
  <c r="R38"/>
  <c r="P41"/>
  <c r="S204"/>
  <c r="P43" l="1"/>
  <c r="R41"/>
  <c r="E26" i="20" l="1"/>
  <c r="G26" s="1"/>
  <c r="AF42" i="1"/>
  <c r="S42"/>
  <c r="H26" i="20" l="1"/>
  <c r="J11" i="34" l="1"/>
  <c r="J14" s="1"/>
  <c r="H14"/>
  <c r="N11" i="21"/>
  <c r="N12" s="1"/>
  <c r="N16" l="1"/>
  <c r="N19" l="1"/>
  <c r="N21" s="1"/>
  <c r="N36" l="1"/>
  <c r="N37" s="1"/>
  <c r="N39" s="1"/>
  <c r="N40" s="1"/>
  <c r="N49"/>
  <c r="N52" s="1"/>
  <c r="N53" s="1"/>
  <c r="N42"/>
  <c r="N63" l="1"/>
  <c r="N64" s="1"/>
  <c r="N65" s="1"/>
  <c r="K12"/>
  <c r="R12"/>
  <c r="K16"/>
  <c r="Q102" i="1" l="1"/>
  <c r="K19" i="21"/>
  <c r="Q105" i="1" s="1"/>
  <c r="F75" i="20" l="1"/>
  <c r="K21" i="21"/>
  <c r="K36" l="1"/>
  <c r="K37" s="1"/>
  <c r="K39" s="1"/>
  <c r="K63" s="1"/>
  <c r="L64" s="1"/>
  <c r="L65" s="1"/>
  <c r="K42"/>
  <c r="K49"/>
  <c r="K52" s="1"/>
  <c r="K53" s="1"/>
  <c r="Q109" i="1" s="1"/>
  <c r="Q107" l="1"/>
  <c r="K40" i="21"/>
  <c r="Q113" i="1" l="1"/>
  <c r="F76" i="20"/>
  <c r="K64" i="21"/>
  <c r="K65" s="1"/>
  <c r="R64"/>
  <c r="R65" s="1"/>
  <c r="Q162" i="1" l="1"/>
  <c r="F79" i="20"/>
  <c r="D10" i="35" l="1"/>
  <c r="D12" s="1"/>
  <c r="D14" s="1"/>
  <c r="D23" s="1"/>
  <c r="Q201" i="1"/>
  <c r="F111" i="20"/>
  <c r="F115" l="1"/>
  <c r="F112"/>
  <c r="H112" s="1"/>
  <c r="Q205" i="1"/>
  <c r="Q202"/>
  <c r="S202" s="1"/>
  <c r="F116" i="20" l="1"/>
  <c r="Q206" i="1"/>
  <c r="S7" i="21"/>
  <c r="S4" s="1"/>
  <c r="U7"/>
  <c r="U4" s="1"/>
  <c r="T7"/>
  <c r="T4" s="1"/>
  <c r="V11"/>
  <c r="V4" l="1"/>
  <c r="Q4" s="1"/>
  <c r="Q7" s="1"/>
  <c r="W4" s="1"/>
  <c r="S11"/>
  <c r="S12" s="1"/>
  <c r="T11"/>
  <c r="T16" s="1"/>
  <c r="T19" s="1"/>
  <c r="U11"/>
  <c r="V16"/>
  <c r="V12"/>
  <c r="Q11" l="1"/>
  <c r="U12"/>
  <c r="U16"/>
  <c r="T12"/>
  <c r="T21"/>
  <c r="S16"/>
  <c r="S19" s="1"/>
  <c r="S21" s="1"/>
  <c r="V19"/>
  <c r="V21" s="1"/>
  <c r="W3" l="1"/>
  <c r="W16"/>
  <c r="T36"/>
  <c r="T37" s="1"/>
  <c r="T39" s="1"/>
  <c r="T40" s="1"/>
  <c r="T49"/>
  <c r="T52" s="1"/>
  <c r="T53" s="1"/>
  <c r="T42"/>
  <c r="Q12"/>
  <c r="Q16"/>
  <c r="Q19" s="1"/>
  <c r="P105" i="1" s="1"/>
  <c r="U19" i="21"/>
  <c r="U21" s="1"/>
  <c r="S42"/>
  <c r="S36"/>
  <c r="S37" s="1"/>
  <c r="S39" s="1"/>
  <c r="S40" s="1"/>
  <c r="S49"/>
  <c r="S52" s="1"/>
  <c r="S53" s="1"/>
  <c r="V42"/>
  <c r="V36"/>
  <c r="V37" s="1"/>
  <c r="V39" s="1"/>
  <c r="V40" s="1"/>
  <c r="V49"/>
  <c r="V52" s="1"/>
  <c r="V53" s="1"/>
  <c r="V63" l="1"/>
  <c r="V64" s="1"/>
  <c r="V65" s="1"/>
  <c r="S63"/>
  <c r="T63"/>
  <c r="T64" s="1"/>
  <c r="T65" s="1"/>
  <c r="P102" i="1"/>
  <c r="U49" i="21"/>
  <c r="U52" s="1"/>
  <c r="U53" s="1"/>
  <c r="U42"/>
  <c r="U36"/>
  <c r="U37" s="1"/>
  <c r="U39" s="1"/>
  <c r="U40" s="1"/>
  <c r="Q21"/>
  <c r="S64"/>
  <c r="S65" s="1"/>
  <c r="R105" i="1"/>
  <c r="S105"/>
  <c r="U63" i="21" l="1"/>
  <c r="U64" s="1"/>
  <c r="U65" s="1"/>
  <c r="Q36"/>
  <c r="Q37" s="1"/>
  <c r="Q39" s="1"/>
  <c r="Q40" s="1"/>
  <c r="E75" i="20"/>
  <c r="G75" s="1"/>
  <c r="D5" i="24"/>
  <c r="Q49" i="21"/>
  <c r="Q52" s="1"/>
  <c r="Q53" s="1"/>
  <c r="P109" i="1" s="1"/>
  <c r="S109" s="1"/>
  <c r="C5" i="24"/>
  <c r="S102" i="1"/>
  <c r="R102"/>
  <c r="Q42" i="21"/>
  <c r="P107" i="1" s="1"/>
  <c r="Q63" i="21" l="1"/>
  <c r="Q64" s="1"/>
  <c r="Q65" s="1"/>
  <c r="R109" i="1"/>
  <c r="H75" i="20"/>
  <c r="S107" i="1"/>
  <c r="R107"/>
  <c r="R113" s="1"/>
  <c r="R162" s="1"/>
  <c r="R201" s="1"/>
  <c r="R202" s="1"/>
  <c r="C6" i="24"/>
  <c r="E76" i="20"/>
  <c r="P113" i="1"/>
  <c r="AG113" l="1"/>
  <c r="AG201" s="1"/>
  <c r="AE113"/>
  <c r="AE201" s="1"/>
  <c r="P162"/>
  <c r="S113"/>
  <c r="AD113"/>
  <c r="AD201" s="1"/>
  <c r="AF113"/>
  <c r="AF201" s="1"/>
  <c r="G76" i="20"/>
  <c r="H76"/>
  <c r="E79"/>
  <c r="H79" s="1"/>
  <c r="G79" l="1"/>
  <c r="G111" s="1"/>
  <c r="E111"/>
  <c r="H111" s="1"/>
  <c r="S162" i="1"/>
  <c r="P201"/>
  <c r="B10" i="35"/>
  <c r="B12" s="1"/>
  <c r="B14" s="1"/>
  <c r="B23" s="1"/>
  <c r="G112" i="20" l="1"/>
  <c r="G115"/>
  <c r="G116" s="1"/>
  <c r="S201" i="1"/>
  <c r="P202"/>
  <c r="P205"/>
  <c r="E115" i="20"/>
  <c r="E112"/>
  <c r="AD202" i="1"/>
  <c r="E116" i="20" l="1"/>
  <c r="H115"/>
  <c r="P206" i="1"/>
  <c r="S205"/>
  <c r="R205"/>
  <c r="H5" i="34" l="1"/>
  <c r="H7" s="1"/>
  <c r="S206" i="1"/>
  <c r="R206"/>
</calcChain>
</file>

<file path=xl/comments1.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comments2.xml><?xml version="1.0" encoding="utf-8"?>
<comments xmlns="http://schemas.openxmlformats.org/spreadsheetml/2006/main">
  <authors>
    <author>Dawn Jacobson</author>
  </authors>
  <commentList>
    <comment ref="G104"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3.xml><?xml version="1.0" encoding="utf-8"?>
<comments xmlns="http://schemas.openxmlformats.org/spreadsheetml/2006/main">
  <authors>
    <author>Dawn Jacobson</author>
  </authors>
  <commentList>
    <comment ref="D28"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1" authorId="0">
      <text>
        <r>
          <rPr>
            <b/>
            <sz val="9"/>
            <color indexed="81"/>
            <rFont val="Tahoma"/>
            <family val="2"/>
          </rPr>
          <t>Dawn Jacobson:</t>
        </r>
        <r>
          <rPr>
            <sz val="9"/>
            <color indexed="81"/>
            <rFont val="Tahoma"/>
            <family val="2"/>
          </rPr>
          <t xml:space="preserve">
Don't Include (Comp Package assumed all was income nothing to Pension)</t>
        </r>
      </text>
    </comment>
    <comment ref="H51" authorId="0">
      <text>
        <r>
          <rPr>
            <b/>
            <sz val="9"/>
            <color indexed="81"/>
            <rFont val="Tahoma"/>
            <family val="2"/>
          </rPr>
          <t>Dawn Jacobson:</t>
        </r>
        <r>
          <rPr>
            <sz val="9"/>
            <color indexed="81"/>
            <rFont val="Tahoma"/>
            <family val="2"/>
          </rPr>
          <t xml:space="preserve">
Don't Include (Comp Package assumed all was income nothing to Pension)</t>
        </r>
      </text>
    </comment>
    <comment ref="I51" authorId="0">
      <text>
        <r>
          <rPr>
            <b/>
            <sz val="9"/>
            <color indexed="81"/>
            <rFont val="Tahoma"/>
            <family val="2"/>
          </rPr>
          <t>Dawn Jacobson:</t>
        </r>
        <r>
          <rPr>
            <sz val="9"/>
            <color indexed="81"/>
            <rFont val="Tahoma"/>
            <family val="2"/>
          </rPr>
          <t xml:space="preserve">
Don't Include (Comp Package assumed all was income nothing to Pension)</t>
        </r>
      </text>
    </comment>
    <comment ref="K51" authorId="0">
      <text>
        <r>
          <rPr>
            <b/>
            <sz val="9"/>
            <color indexed="81"/>
            <rFont val="Tahoma"/>
            <family val="2"/>
          </rPr>
          <t>Dawn Jacobson:</t>
        </r>
        <r>
          <rPr>
            <sz val="9"/>
            <color indexed="81"/>
            <rFont val="Tahoma"/>
            <family val="2"/>
          </rPr>
          <t xml:space="preserve">
Don't Include (Comp Package assumed all was income nothing to Pension)</t>
        </r>
      </text>
    </comment>
    <comment ref="L51" authorId="0">
      <text>
        <r>
          <rPr>
            <b/>
            <sz val="9"/>
            <color indexed="81"/>
            <rFont val="Tahoma"/>
            <family val="2"/>
          </rPr>
          <t>Dawn Jacobson:</t>
        </r>
        <r>
          <rPr>
            <sz val="9"/>
            <color indexed="81"/>
            <rFont val="Tahoma"/>
            <family val="2"/>
          </rPr>
          <t xml:space="preserve">
Don't Include (Comp Package assumed all was income nothing to Pension)</t>
        </r>
      </text>
    </comment>
    <comment ref="M51" authorId="0">
      <text>
        <r>
          <rPr>
            <b/>
            <sz val="9"/>
            <color indexed="81"/>
            <rFont val="Tahoma"/>
            <family val="2"/>
          </rPr>
          <t>Dawn Jacobson:</t>
        </r>
        <r>
          <rPr>
            <sz val="9"/>
            <color indexed="81"/>
            <rFont val="Tahoma"/>
            <family val="2"/>
          </rPr>
          <t xml:space="preserve">
Don't Include (Comp Package assumed all was income nothing to Pension)</t>
        </r>
      </text>
    </comment>
    <comment ref="N51" authorId="0">
      <text>
        <r>
          <rPr>
            <b/>
            <sz val="9"/>
            <color indexed="81"/>
            <rFont val="Tahoma"/>
            <family val="2"/>
          </rPr>
          <t>Dawn Jacobson:</t>
        </r>
        <r>
          <rPr>
            <sz val="9"/>
            <color indexed="81"/>
            <rFont val="Tahoma"/>
            <family val="2"/>
          </rPr>
          <t xml:space="preserve">
Don't Include (Comp Package assumed all was income nothing to Pension)</t>
        </r>
      </text>
    </comment>
    <comment ref="O51" authorId="0">
      <text>
        <r>
          <rPr>
            <b/>
            <sz val="9"/>
            <color indexed="81"/>
            <rFont val="Tahoma"/>
            <family val="2"/>
          </rPr>
          <t>Dawn Jacobson:</t>
        </r>
        <r>
          <rPr>
            <sz val="9"/>
            <color indexed="81"/>
            <rFont val="Tahoma"/>
            <family val="2"/>
          </rPr>
          <t xml:space="preserve">
Don't Include (Comp Package assumed all was income nothing to Pension)</t>
        </r>
      </text>
    </comment>
    <comment ref="P51" authorId="0">
      <text>
        <r>
          <rPr>
            <b/>
            <sz val="9"/>
            <color indexed="81"/>
            <rFont val="Tahoma"/>
            <family val="2"/>
          </rPr>
          <t>Dawn Jacobson:</t>
        </r>
        <r>
          <rPr>
            <sz val="9"/>
            <color indexed="81"/>
            <rFont val="Tahoma"/>
            <family val="2"/>
          </rPr>
          <t xml:space="preserve">
Don't Include (Comp Package assumed all was income nothing to Pension)</t>
        </r>
      </text>
    </comment>
    <comment ref="Q51" authorId="0">
      <text>
        <r>
          <rPr>
            <b/>
            <sz val="9"/>
            <color indexed="81"/>
            <rFont val="Tahoma"/>
            <family val="2"/>
          </rPr>
          <t>Dawn Jacobson:</t>
        </r>
        <r>
          <rPr>
            <sz val="9"/>
            <color indexed="81"/>
            <rFont val="Tahoma"/>
            <family val="2"/>
          </rPr>
          <t xml:space="preserve">
Don't Include (Comp Package assumed all was income nothing to Pension)</t>
        </r>
      </text>
    </comment>
    <comment ref="R51" authorId="0">
      <text>
        <r>
          <rPr>
            <b/>
            <sz val="9"/>
            <color indexed="81"/>
            <rFont val="Tahoma"/>
            <family val="2"/>
          </rPr>
          <t>Dawn Jacobson:</t>
        </r>
        <r>
          <rPr>
            <sz val="9"/>
            <color indexed="81"/>
            <rFont val="Tahoma"/>
            <family val="2"/>
          </rPr>
          <t xml:space="preserve">
Don't Include (Comp Package assumed all was income nothing to Pension)</t>
        </r>
      </text>
    </comment>
    <comment ref="S51" authorId="0">
      <text>
        <r>
          <rPr>
            <b/>
            <sz val="9"/>
            <color indexed="81"/>
            <rFont val="Tahoma"/>
            <family val="2"/>
          </rPr>
          <t>Dawn Jacobson:</t>
        </r>
        <r>
          <rPr>
            <sz val="9"/>
            <color indexed="81"/>
            <rFont val="Tahoma"/>
            <family val="2"/>
          </rPr>
          <t xml:space="preserve">
Don't Include (Comp Package assumed all was income nothing to Pension)</t>
        </r>
      </text>
    </comment>
    <comment ref="T51" authorId="0">
      <text>
        <r>
          <rPr>
            <b/>
            <sz val="9"/>
            <color indexed="81"/>
            <rFont val="Tahoma"/>
            <family val="2"/>
          </rPr>
          <t>Dawn Jacobson:</t>
        </r>
        <r>
          <rPr>
            <sz val="9"/>
            <color indexed="81"/>
            <rFont val="Tahoma"/>
            <family val="2"/>
          </rPr>
          <t xml:space="preserve">
Don't Include (Comp Package assumed all was income nothing to Pension)</t>
        </r>
      </text>
    </comment>
    <comment ref="U51" authorId="0">
      <text>
        <r>
          <rPr>
            <b/>
            <sz val="9"/>
            <color indexed="81"/>
            <rFont val="Tahoma"/>
            <family val="2"/>
          </rPr>
          <t>Dawn Jacobson:</t>
        </r>
        <r>
          <rPr>
            <sz val="9"/>
            <color indexed="81"/>
            <rFont val="Tahoma"/>
            <family val="2"/>
          </rPr>
          <t xml:space="preserve">
Don't Include (Comp Package assumed all was income nothing to Pension)</t>
        </r>
      </text>
    </comment>
    <comment ref="V51"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4.xml><?xml version="1.0" encoding="utf-8"?>
<comments xmlns="http://schemas.openxmlformats.org/spreadsheetml/2006/main">
  <authors>
    <author>Dawn Jacobson</author>
  </authors>
  <commentList>
    <comment ref="B24"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<sst xmlns="http://schemas.openxmlformats.org/spreadsheetml/2006/main" count="979" uniqueCount="616">
  <si>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</si>
  <si>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</si>
  <si>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</si>
  <si>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</si>
  <si>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</si>
  <si>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</si>
  <si>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</si>
  <si>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</si>
  <si>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</si>
  <si>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</si>
  <si>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</si>
  <si>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</si>
  <si>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</si>
  <si>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</si>
  <si>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</si>
  <si>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</si>
  <si>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</si>
  <si>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</si>
  <si>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</si>
  <si>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</si>
  <si>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</si>
  <si>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</si>
  <si>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</si>
  <si>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</si>
  <si>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</si>
  <si>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</si>
  <si>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</si>
  <si>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</si>
  <si>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</si>
  <si>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</si>
  <si>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</si>
  <si>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</si>
  <si>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</si>
  <si>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</si>
  <si>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</si>
  <si>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</si>
  <si>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</si>
  <si>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</si>
  <si>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</si>
  <si>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</si>
  <si>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</si>
  <si>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</si>
  <si>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</si>
  <si>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</si>
  <si>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</si>
  <si>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</si>
  <si>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</si>
  <si>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</si>
  <si>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</si>
  <si>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</si>
  <si>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</si>
  <si>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</si>
  <si>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</si>
  <si>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</si>
  <si>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</si>
  <si>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</si>
  <si>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</si>
  <si>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</si>
  <si>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</si>
  <si>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</si>
  <si>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</si>
  <si>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</si>
  <si>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</si>
  <si>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</si>
  <si>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</si>
  <si>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</si>
  <si>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</si>
  <si>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</si>
  <si>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</si>
  <si>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</si>
  <si>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</si>
  <si>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</si>
  <si>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</si>
  <si>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</si>
  <si>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</si>
  <si>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</si>
  <si>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</si>
  <si>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</si>
  <si>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</si>
  <si>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</si>
  <si>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</si>
  <si>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</si>
  <si>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</si>
  <si>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</si>
  <si>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</si>
  <si>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</si>
  <si>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</si>
  <si>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</si>
  <si>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</si>
  <si>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</si>
  <si>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</si>
  <si>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</si>
  <si>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</si>
  <si>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</si>
  <si>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</si>
  <si>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</si>
  <si>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</si>
  <si>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</si>
  <si>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</si>
  <si>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</si>
  <si>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</si>
  <si>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</si>
  <si>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</si>
  <si>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</si>
  <si>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</si>
  <si>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</si>
  <si>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</si>
  <si>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</si>
  <si>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</si>
  <si>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</si>
  <si>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</si>
  <si>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</si>
  <si>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</si>
  <si>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</si>
  <si>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</si>
  <si>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</si>
  <si>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</si>
  <si>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</si>
  <si>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</si>
  <si>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</si>
  <si>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</si>
  <si>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</si>
  <si>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</si>
  <si>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</si>
  <si>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</si>
  <si>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</si>
  <si>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</si>
  <si>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</si>
  <si>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</si>
  <si>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</si>
  <si>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</si>
  <si>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</si>
  <si>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</si>
  <si>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</si>
  <si>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</si>
  <si>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</si>
  <si>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</si>
  <si>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</si>
  <si>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</si>
  <si>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</si>
  <si>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</si>
  <si>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</si>
  <si>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</si>
  <si>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</si>
  <si>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</si>
  <si>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</si>
  <si>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</si>
  <si>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</si>
  <si>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</si>
  <si>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</si>
  <si>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</si>
  <si>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</si>
  <si>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</si>
  <si>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</si>
  <si>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</si>
  <si>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</si>
  <si>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</si>
  <si>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</si>
  <si>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</si>
  <si>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</si>
  <si>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</si>
  <si>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</si>
  <si>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</si>
  <si>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</si>
  <si>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</si>
  <si>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</si>
  <si>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</si>
  <si>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Total</t>
  </si>
  <si>
    <t>Per Compensation Package</t>
  </si>
  <si>
    <t xml:space="preserve">Per Compensation Package.     </t>
  </si>
  <si>
    <t>Pension</t>
  </si>
  <si>
    <t>Other Insurance</t>
  </si>
  <si>
    <t>Medical &amp; Dental Insurance</t>
  </si>
  <si>
    <t>Retiree</t>
  </si>
  <si>
    <t>Medical/Dental premium
     Allowance</t>
  </si>
  <si>
    <t>Synod COLA</t>
  </si>
  <si>
    <t>Disability, Group Life, and Retiree Support</t>
  </si>
  <si>
    <t>Salary and Housing</t>
  </si>
  <si>
    <t>% of Year</t>
  </si>
  <si>
    <t>Insurance Provision</t>
  </si>
  <si>
    <t>Internship</t>
  </si>
  <si>
    <t>Parish/Finance Secretary</t>
  </si>
  <si>
    <t>Communications Secretary</t>
  </si>
  <si>
    <t>Finance Secretary Temp</t>
  </si>
  <si>
    <t>Pastor Transition</t>
  </si>
  <si>
    <t>Intern</t>
  </si>
  <si>
    <t>Total Intern</t>
  </si>
  <si>
    <t>Summer Bible School</t>
  </si>
  <si>
    <t>Total Income excluding Clearing Account</t>
  </si>
  <si>
    <t>Total Salary and Housing</t>
  </si>
  <si>
    <t>2019 Budget</t>
  </si>
  <si>
    <t>Annual Increase %</t>
  </si>
  <si>
    <t>Total Defined Comp.</t>
  </si>
  <si>
    <t>Health/Dental/Vision Difference</t>
  </si>
  <si>
    <t>Annually</t>
  </si>
  <si>
    <t>Health Premium Allowance</t>
  </si>
  <si>
    <t>To Pension</t>
  </si>
  <si>
    <t>Health Premium Allowance:</t>
  </si>
  <si>
    <t>Health Premium Allow added to Pension</t>
  </si>
  <si>
    <t>Total Pension</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</si>
  <si>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</si>
  <si>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</si>
  <si>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</si>
  <si>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</si>
  <si>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</si>
  <si>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SubTotal</t>
  </si>
  <si>
    <t>Health Premium Allow (Pension Portion only) @7.65%</t>
  </si>
  <si>
    <t>Health Care Premium Allow. (Portion expected to be included in Salary if not included in Defined Comp.)</t>
  </si>
  <si>
    <t>Pastor 2019</t>
  </si>
  <si>
    <t>Travel Allow</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</si>
  <si>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</si>
  <si>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</si>
  <si>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</si>
  <si>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</si>
  <si>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</si>
  <si>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</si>
  <si>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</si>
  <si>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</si>
  <si>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Fees to Seminary</t>
  </si>
  <si>
    <t>This is the church's portion of SS.  It is not included in calculation line "Church - FICA/MED"</t>
  </si>
  <si>
    <t>Start Jan. 16, 2018</t>
  </si>
  <si>
    <t>$40/Month.</t>
  </si>
  <si>
    <t>Cell Phone $40/Month</t>
  </si>
  <si>
    <t>Cheryl</t>
  </si>
  <si>
    <t>Director of Contemporary Worship</t>
  </si>
  <si>
    <t>Projectionist:</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</si>
  <si>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</si>
  <si>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</si>
  <si>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</si>
  <si>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</si>
  <si>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</si>
  <si>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</si>
  <si>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</si>
  <si>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</si>
  <si>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</si>
  <si>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</si>
  <si>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</si>
  <si>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</si>
  <si>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</si>
  <si>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</si>
  <si>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</si>
  <si>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</si>
  <si>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</si>
  <si>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</si>
  <si>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</si>
  <si>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</si>
  <si>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</si>
  <si>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</si>
  <si>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Dollars</t>
  </si>
  <si>
    <t>REVELATION BAND ESTIMATE:</t>
  </si>
  <si>
    <t>One day per week</t>
  </si>
  <si>
    <t>Total Practice Times</t>
  </si>
  <si>
    <t>Total Revelation Band Budget</t>
  </si>
  <si>
    <t xml:space="preserve">     Advent</t>
  </si>
  <si>
    <t xml:space="preserve">     Lent</t>
  </si>
  <si>
    <t xml:space="preserve">     Average Number of Funerals</t>
  </si>
  <si>
    <t xml:space="preserve">    Number of Band Members per event</t>
  </si>
  <si>
    <t>Per Pers.</t>
  </si>
  <si>
    <t>Average</t>
  </si>
  <si>
    <t>Excludes Summer Outside Services</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</si>
  <si>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</si>
  <si>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</si>
  <si>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</si>
  <si>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</si>
  <si>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</si>
  <si>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</si>
  <si>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</si>
  <si>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</si>
  <si>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</si>
  <si>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</si>
  <si>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</si>
  <si>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</si>
  <si>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</si>
  <si>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</si>
  <si>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</si>
  <si>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</si>
  <si>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Per Hour Rate</t>
  </si>
  <si>
    <t>NOTES</t>
  </si>
  <si>
    <t>Position</t>
  </si>
  <si>
    <t xml:space="preserve">     # of Summer Equip. set up people</t>
  </si>
  <si>
    <t>Professional Fees</t>
  </si>
  <si>
    <t>Love God</t>
  </si>
  <si>
    <t>Changing Lives</t>
  </si>
  <si>
    <t>Reaching Out</t>
  </si>
  <si>
    <t>Building</t>
  </si>
  <si>
    <t>Communion Education</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</si>
  <si>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</si>
  <si>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Budget</t>
  </si>
  <si>
    <t>Year over Year</t>
  </si>
  <si>
    <t>Nov 29-Dec 24, 2020</t>
  </si>
  <si>
    <t>Feb 26-April 9, 2020</t>
  </si>
  <si>
    <t>Memorial Day (May 25) - Labor Day (Sept 7)</t>
  </si>
  <si>
    <t>Friday</t>
  </si>
  <si>
    <t>Christmas</t>
  </si>
  <si>
    <t>Added New for 2020 Budget</t>
  </si>
  <si>
    <t>Deb Toff - back up for Cheryl.</t>
  </si>
  <si>
    <t>Other Programs</t>
  </si>
  <si>
    <t>Telephone</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</si>
  <si>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</si>
  <si>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</si>
  <si>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Materials $500. </t>
  </si>
  <si>
    <t>First Call Theological</t>
  </si>
  <si>
    <t>Assoc. Pastor</t>
  </si>
  <si>
    <t>Total Assoc. Pastor</t>
  </si>
  <si>
    <t>FICA Tax</t>
  </si>
  <si>
    <t>FICA Tax:  7.65%</t>
  </si>
  <si>
    <t>2020:  Per Building &amp; Grounds - same as 2019.   $50 month for Dori's Phone.  Does not include charge for new phone.  Only 5 months for Dori in 2020.</t>
  </si>
  <si>
    <t>Health Care</t>
  </si>
  <si>
    <t>Exclude Pastor and Assoc Pastor Salary for FICA/MED as this is included in their section.</t>
  </si>
  <si>
    <t>Retiree Support</t>
  </si>
  <si>
    <t>Includes Pastor, Custodians, Heather, Cheryl add Assoc in 2020</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</si>
  <si>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</si>
  <si>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</si>
  <si>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Same as last year.  Copy paper reduction.  Less announcements/printing, etc.  Per Janice, we will need additional color printing in 2017 for key communication</t>
  </si>
  <si>
    <t>For 2018, Pastor Pahl has chosen to waive both Medical and Dental coverage.</t>
  </si>
  <si>
    <t>Grand Total - Assoc. Pastor</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</si>
  <si>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</si>
  <si>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</si>
  <si>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</si>
  <si>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</si>
  <si>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</si>
  <si>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</si>
  <si>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Notes and Details</t>
  </si>
  <si>
    <t>BAND AND OTHER MUSIC SUPPORT</t>
  </si>
  <si>
    <t>Jack Sensig</t>
  </si>
  <si>
    <t>Various Volunteers</t>
  </si>
  <si>
    <t>$200/for 2 services and $50 for an additional service</t>
  </si>
  <si>
    <t>Jim Sodke.  Consider this position as part of staff.</t>
  </si>
  <si>
    <t xml:space="preserve">2020:  Per Building &amp; Grounds - same as 2019.   We took it up a bit based on Sept YTD </t>
  </si>
  <si>
    <t>2020:  Per Building &amp; Grounds - same as 2019.   We took it up a bit based on Sept YTD.</t>
  </si>
  <si>
    <t>Consistent Staff:</t>
  </si>
  <si>
    <t>Changing Staff:</t>
  </si>
  <si>
    <t>All costs *</t>
  </si>
  <si>
    <t>Loose Offerings &amp; Misc.</t>
  </si>
  <si>
    <t>Office Administrator</t>
  </si>
  <si>
    <t>Office Temporary</t>
  </si>
  <si>
    <t xml:space="preserve">Greater Milwaukee Synod </t>
  </si>
  <si>
    <t>Holman's</t>
  </si>
  <si>
    <t>Lutherdale</t>
  </si>
  <si>
    <t>Racine Interfairth Coalition</t>
  </si>
  <si>
    <t>Good Samaritain</t>
  </si>
  <si>
    <t>HALO</t>
  </si>
  <si>
    <t>Tiny Homes</t>
  </si>
  <si>
    <t>Hospitality Center</t>
  </si>
  <si>
    <t>Lutheran Social Services</t>
  </si>
  <si>
    <t xml:space="preserve">This is for preparing the music and does not include practice or performance of music. </t>
  </si>
  <si>
    <t>Racine Cluster (Living Faith Meal)</t>
  </si>
  <si>
    <t>Love Jesus</t>
  </si>
  <si>
    <t>Volunteer Coordinator</t>
  </si>
  <si>
    <t>Advent Offerings</t>
  </si>
  <si>
    <t>Parish/Finance Secretary (40 hrs/week)</t>
  </si>
  <si>
    <t>Custodian - Rebecca (20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</si>
  <si>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</si>
  <si>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</si>
  <si>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</si>
  <si>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</si>
  <si>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</si>
  <si>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</si>
  <si>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</si>
  <si>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DEFINED COMP.</t>
  </si>
  <si>
    <t>No Longer needed starting in 2021</t>
  </si>
  <si>
    <t>6.2% Social Sec./1.45% Medicare</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</si>
  <si>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</si>
  <si>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</si>
  <si>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</si>
  <si>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</si>
  <si>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</si>
  <si>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</si>
  <si>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</si>
  <si>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</si>
  <si>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</si>
  <si>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</si>
  <si>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</si>
  <si>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</si>
  <si>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</si>
  <si>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ELCA
 Guidelines</t>
  </si>
  <si>
    <t>2% Increase</t>
  </si>
  <si>
    <t>1% Increase</t>
  </si>
  <si>
    <t>0% Increase</t>
  </si>
  <si>
    <t>2.6% Increase plus 1/2 to Guidelines</t>
  </si>
  <si>
    <t>Not needed starting 2021</t>
  </si>
  <si>
    <t/>
  </si>
  <si>
    <t>2021 Budget</t>
  </si>
  <si>
    <t>2020:  Suggested $1,000 additional.</t>
  </si>
  <si>
    <t>Racine Food Shelf</t>
  </si>
  <si>
    <t>2020:  Requested $300 for Brown Bag Bible Study $100, Sunday Adult Ed/Forum $100, and Other Adult Study $100.</t>
  </si>
  <si>
    <t>Start December 1,  2020</t>
  </si>
  <si>
    <t>Decision was to waive the health care coverage.</t>
  </si>
  <si>
    <t>Not needed</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</si>
  <si>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</si>
  <si>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</si>
  <si>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</si>
  <si>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</si>
  <si>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</si>
  <si>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</si>
  <si>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</si>
  <si>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</si>
  <si>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</si>
  <si>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</si>
  <si>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t>2021:  Eliminate - Don't pay for Dori's phone.</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</si>
  <si>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</si>
  <si>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</si>
  <si>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</si>
  <si>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</si>
  <si>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</si>
  <si>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</si>
  <si>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</si>
  <si>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</si>
  <si>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</si>
  <si>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</si>
  <si>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</si>
  <si>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</si>
  <si>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</si>
  <si>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</si>
  <si>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</si>
  <si>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</si>
  <si>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</si>
  <si>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</si>
  <si>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</si>
  <si>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</si>
  <si>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</si>
  <si>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</si>
  <si>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</si>
  <si>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</si>
  <si>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</si>
  <si>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</si>
  <si>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</si>
  <si>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</si>
  <si>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</si>
  <si>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2020 Actual</t>
  </si>
  <si>
    <t>2021 Proposed Budget</t>
  </si>
  <si>
    <t>2019 Actual</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</si>
  <si>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</si>
  <si>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</si>
  <si>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</si>
  <si>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</si>
  <si>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</si>
  <si>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</si>
  <si>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</si>
  <si>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</si>
  <si>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</si>
  <si>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</si>
  <si>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</si>
  <si>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</si>
  <si>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</si>
  <si>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</si>
  <si>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</si>
  <si>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</si>
  <si>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</si>
  <si>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</si>
  <si>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</si>
  <si>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</si>
  <si>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</si>
  <si>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</si>
  <si>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</si>
  <si>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</si>
  <si>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</si>
  <si>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</si>
  <si>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</si>
  <si>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</si>
  <si>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</si>
  <si>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</si>
  <si>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</si>
  <si>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</si>
  <si>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</si>
  <si>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</si>
  <si>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</si>
  <si>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</si>
  <si>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</si>
  <si>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</si>
  <si>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</si>
  <si>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</si>
  <si>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</si>
  <si>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</si>
  <si>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</si>
  <si>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</si>
  <si>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</si>
  <si>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NA</t>
  </si>
  <si>
    <t>2021 Ending Balance</t>
  </si>
  <si>
    <t>Custodian - Glenn Napier (7.5 hrs/week)</t>
  </si>
  <si>
    <t>Total Projectionist</t>
  </si>
  <si>
    <t>2022 Budget</t>
  </si>
  <si>
    <t>2020:  Cake/Materials $100 and Curriculum/books/cups $100.</t>
  </si>
  <si>
    <t>Nov 27-Dec 24, 2022</t>
  </si>
  <si>
    <t>Christmas is on Sunday</t>
  </si>
  <si>
    <t>Memorial Day (May 30) - Labor Day (Sept 5)</t>
  </si>
  <si>
    <t>March 2 - April 16, 2022</t>
  </si>
  <si>
    <t>Annual Contract 2021</t>
  </si>
  <si>
    <t>8 Years of Experience (Guideline for 2020 = $62,066) plus 1% to get to 2021 estimate.</t>
  </si>
  <si>
    <t>Continuing Ed  (includes Fall Leadership</t>
  </si>
  <si>
    <t>Veterans Tiny Homes</t>
  </si>
  <si>
    <t>Lutherdale Bible Camp</t>
  </si>
  <si>
    <t>Holman's Ministry</t>
  </si>
  <si>
    <t>Sept 2021 YTD includes $56,200 of the Gov Loan forgiveness recognized as income.</t>
  </si>
  <si>
    <t>2022:  Reduced due change in curriculum, eliminating weekly handouts, and less students</t>
  </si>
  <si>
    <t>2022:  Keep same.  What is the expected number of confirmants for 2022?</t>
  </si>
  <si>
    <t>2022:  Keep same.</t>
  </si>
  <si>
    <t xml:space="preserve">2022:  Keep same.  </t>
  </si>
  <si>
    <t>Church &amp; Community Outreach</t>
  </si>
  <si>
    <t>2022:  Keep same.  Planning Abelskivers for Spring</t>
  </si>
  <si>
    <t>2021:  Did not turn in receipts for 4th Friday event.</t>
  </si>
  <si>
    <t xml:space="preserve">     Conf.  Synold Assembly is incl under</t>
  </si>
  <si>
    <t>2021:  Cheryl working to reducing printing of unneeded envelopes.  She estimates $500.</t>
  </si>
  <si>
    <t>2022:  Synod increase recommendation is 5% COLA plus 1 additional year of Service.</t>
  </si>
  <si>
    <t>Youth Ministry Staff</t>
  </si>
  <si>
    <t>Total Youth Ministry Staff</t>
  </si>
  <si>
    <t>Pay Rates for 2022</t>
  </si>
  <si>
    <t>2022:  Keep same.   RIC Advertising is $200 annually.</t>
  </si>
  <si>
    <t>Summer/Sub Bands &amp; Equip. Set up</t>
  </si>
  <si>
    <t>From Pastor Karen</t>
  </si>
  <si>
    <t>Started playing for Advent for 2022</t>
  </si>
  <si>
    <t>Lynette, Fred, Herk, Dee, &amp; Jake</t>
  </si>
  <si>
    <t xml:space="preserve">     Number of Services</t>
  </si>
  <si>
    <t xml:space="preserve">     # of Services per Sunday</t>
  </si>
  <si>
    <t xml:space="preserve">     Revelation Band Services for Advent</t>
  </si>
  <si>
    <t xml:space="preserve">     Revelation Band Services for Lent</t>
  </si>
  <si>
    <t>Total Services</t>
  </si>
  <si>
    <t>Additional Services:</t>
  </si>
  <si>
    <t>Total Services and Practices</t>
  </si>
  <si>
    <t>One day per week (excl Lent/Advent services)</t>
  </si>
  <si>
    <t xml:space="preserve">   Additional for Easter and Christmas Service</t>
  </si>
  <si>
    <t xml:space="preserve">    Pay per Service per Person</t>
  </si>
  <si>
    <t>Total Service Pay</t>
  </si>
  <si>
    <t xml:space="preserve">     Number of Worship Sundays</t>
  </si>
  <si>
    <t>Funerals are covered by the families</t>
  </si>
  <si>
    <t xml:space="preserve">     Pay per Person per service</t>
  </si>
  <si>
    <t>Total Number of Services</t>
  </si>
  <si>
    <t xml:space="preserve">     Number of Summer/Sub People per Service</t>
  </si>
  <si>
    <t xml:space="preserve">     Pay per Summer/Sub per Service</t>
  </si>
  <si>
    <t xml:space="preserve">     Number of Projectionist People per Service</t>
  </si>
  <si>
    <t>2022:  Cheryl continues to reduce this.  More on-line giving.</t>
  </si>
  <si>
    <t>2021:  The $450 is for the Stewardship program we are using.</t>
  </si>
  <si>
    <t>2022:  Need $500 for 2021-23 for Visioning, $500 for Financial Questions and $500 other.</t>
  </si>
  <si>
    <t>2021:  Increased towards end of year due to additional responsibilies added.</t>
  </si>
  <si>
    <t>2022:  Leave at 2021 budget</t>
  </si>
  <si>
    <t>2022:  Increased 2.5%</t>
  </si>
  <si>
    <t>Sound and Live Stream Support</t>
  </si>
  <si>
    <t>2022:  Added a live stream support position for both services.</t>
  </si>
  <si>
    <t>2022:  Agree to $3,000 for full year (as part of salary going forward).</t>
  </si>
  <si>
    <t>2020:  Books $200 and DVDs $100.  They spend their $ at end of each year.</t>
  </si>
  <si>
    <t>2022:  Include 3 Congregation members and 2 Pastor (usually $200/person)</t>
  </si>
  <si>
    <t>Gifts, etc</t>
  </si>
  <si>
    <t>2022:  Estimate per Cheryl</t>
  </si>
  <si>
    <t>2022:  Esimate per Cheryl/Pastor.  Youth night and funerals, etc for plates/cups/napkins and other kitchen items.</t>
  </si>
  <si>
    <t>For 2022, Pastor Kelly elected to purchase 2 weeks of vacation.</t>
  </si>
  <si>
    <t>SOUND/LIVE STREAMING SUPPORT:</t>
  </si>
  <si>
    <t>This Does NOT include the Sound/Live Streaming Support which are separate.  Lynette is to turn in by name who attended practice and who played at Sunday service each week.</t>
  </si>
  <si>
    <t>Portion of Medical/Vision/Dental Elected to go into Salary                                        (includes gross up starting in 2020)</t>
  </si>
  <si>
    <t>2022:  Per Cheryl we have a significant carry-over balance that will cover 2022 increases.</t>
  </si>
  <si>
    <t>J. Nelson plus others.  For 2022 increase from $25 to $35 per service.</t>
  </si>
  <si>
    <t xml:space="preserve">2020:  Requested $1,000 for Gowns $50, Breakfast $350, Cake $50, Pictures $50, Flowers $150, Gifts $150, and Curriculum $200.  Confirmant Trend:  2020 (16), 2019 (12), 2020 (6), 2021 (0), 2022 (12).  </t>
  </si>
  <si>
    <t>2022:  Might be able to reduce another $1,500 if needed.</t>
  </si>
  <si>
    <t>2022:  Assumes 2 mailings same number of mailings.</t>
  </si>
  <si>
    <t>NOTES:  2021 New Copier Lease.  New Computers:  2020 Pastor Karen Apple Mac Mini, 2019 Heather, Cheryl 11/2016 and Janice new printer.</t>
  </si>
  <si>
    <t>NOTE:  $600 Vanco (on-line giving), $996 Johnson Bank (Per month:  $20 Online Banking, $40 Remote Deposit, $15 ACH Module and $8/transaction over 250 Transactions.  Total estimated $83/Month) and $85 for Safety Deposit Box….Round up to $1,700</t>
  </si>
  <si>
    <t>2020:  Full audit $2,000 &amp; Financial Questions $500, and Pastor John $2,000</t>
  </si>
  <si>
    <t>L. Jacobson.  Consider this position as part of staff.</t>
  </si>
  <si>
    <t>2021:  Jim Sodke starting covering this.  Gift of $500 for part year and small choir.</t>
  </si>
  <si>
    <t>Starting in 2020 this is now being done through multiple people with most volunteering.</t>
  </si>
  <si>
    <t>2022: Estimate per Cheryl</t>
  </si>
  <si>
    <t>2022:  Should be fine at $350 for full year per Cheryl.</t>
  </si>
  <si>
    <t>2022:  Increase this line per Cheryl and Pastor</t>
  </si>
  <si>
    <t>2022:  increase based on 2021 actuals</t>
  </si>
  <si>
    <t>Marc Henkel:  was not replaced when he left in 2021</t>
  </si>
  <si>
    <t>Heather Keszler was not replaced when she left in 2021.                                                       "</t>
  </si>
  <si>
    <t>Cheryl:  2022:  No increase due to large increase in late 2021.</t>
  </si>
  <si>
    <t>Operating Expenses unexpectedly exceed Income (Income shortfall).</t>
  </si>
  <si>
    <t>Large Building and grounds needs for facility up-keep.</t>
  </si>
  <si>
    <t>True Emergency issues.</t>
  </si>
  <si>
    <t>PASTOR KAREN</t>
  </si>
  <si>
    <t xml:space="preserve">     Annual Increase %</t>
  </si>
  <si>
    <t xml:space="preserve">     Gross up %</t>
  </si>
  <si>
    <t xml:space="preserve">     Pension %</t>
  </si>
  <si>
    <t xml:space="preserve">     Disability %</t>
  </si>
  <si>
    <t xml:space="preserve">     Group Life %</t>
  </si>
  <si>
    <t xml:space="preserve">     Total Other Insurance %</t>
  </si>
  <si>
    <t>Continuing Ed  (includes Fall Leadership Conf.   The Synod</t>
  </si>
  <si>
    <t xml:space="preserve">     FICA Tax %:   SS (6.2%) &amp; Medicare (1.45%)</t>
  </si>
  <si>
    <t>Total Number of Sunday Services</t>
  </si>
  <si>
    <t>Additional Special Services:</t>
  </si>
  <si>
    <t>Total Services (Sundays and Special)</t>
  </si>
  <si>
    <t>Added  Live Streaming in 2022 Budget</t>
  </si>
  <si>
    <t xml:space="preserve">     Number of Sound/Live Streaming People</t>
  </si>
  <si>
    <t>Total Sound/Live Streaming Budget</t>
  </si>
  <si>
    <t>Number of Services</t>
  </si>
  <si>
    <t xml:space="preserve">    # of Band Members per Service (Avg)</t>
  </si>
  <si>
    <t xml:space="preserve">    # of Extra Services at Easter &amp; Christmas</t>
  </si>
  <si>
    <t xml:space="preserve">     # of Sound People per Service</t>
  </si>
  <si>
    <t xml:space="preserve">     Pay per Sound Person per Service</t>
  </si>
  <si>
    <t xml:space="preserve">     # of Summer/Sub People per Service</t>
  </si>
  <si>
    <t xml:space="preserve">     # of Projectionist People per Service</t>
  </si>
  <si>
    <t>This is for preparing the music and does not include practice or playing at services for Revelation Band.  This salary also includes the work the Youth Choir Assistant role.</t>
  </si>
  <si>
    <t>Unforeseen Health Care changes for Pastors.</t>
  </si>
  <si>
    <t>2022 Budget is 2.6% increase and 1/2 to get to ELCA Guidelines</t>
  </si>
  <si>
    <t>All to Pension Per Pastor Karen</t>
  </si>
  <si>
    <t xml:space="preserve">     FICA Tax %:   Social Security (6.2%) &amp; Medicare (1.45%)</t>
  </si>
  <si>
    <t xml:space="preserve">    Assemby is included under Misc. Programs)</t>
  </si>
  <si>
    <t xml:space="preserve">     Misc. Programs)</t>
  </si>
  <si>
    <t>Signatures:</t>
  </si>
  <si>
    <t>Date</t>
  </si>
  <si>
    <t>Pastor Karen Pahl</t>
  </si>
  <si>
    <t>Tony Baumgardt - LCR President</t>
  </si>
  <si>
    <t>Dawn Jacobson - Finance Committee Lead</t>
  </si>
  <si>
    <t>Pastor Kelly Nieman</t>
  </si>
  <si>
    <t>2022:  Received 82 pledges as of 11/1/21.</t>
  </si>
  <si>
    <t>Oct 2021 YTD Actual</t>
  </si>
  <si>
    <t>Oct 2021 YTD Budget</t>
  </si>
  <si>
    <t>2021 was 113 total pledges.</t>
  </si>
  <si>
    <t>2021 was 8%.  QUESTION:  Should Endowment Distributions to Outside Org. be considered part of our 10% Benevolence?</t>
  </si>
  <si>
    <t>Budget is 2.6% increase plus 1/2 to get to ELCA guidelines.  Pastor will take an extra week 2 days of vacation to achieve ELCA guidelines</t>
  </si>
  <si>
    <t>Excl the $500 for Synod Assembly (budgeted under Misc Programs).</t>
  </si>
  <si>
    <t>2022 is ELCA guidelines less 2 weeks vacation that Pastor Kelly would like to "buy back".</t>
  </si>
  <si>
    <t>2022:  Increased per Service rate to $35/member (was $25), 5 band members and will play for Advent Services.  2021 Budget had 6 band members.</t>
  </si>
  <si>
    <t>2022:  Estimate based on not replacing Heather or Marc.</t>
  </si>
  <si>
    <t>2022:  Same as 2021 budget</t>
  </si>
  <si>
    <t>Per Jim Sodke:  Choir Piano (2 times) and 3 other pianos (1 time) at $75/each time.  Grand Piano (3 times) at $150 each.  Organ Tuning (1 time) at 750.   Total $1,575.  Includes rate increase and/or minor repairs.</t>
  </si>
</sst>
</file>

<file path=xl/styles.xml><?xml version="1.0" encoding="utf-8"?>
<styleSheet xmlns="http://schemas.openxmlformats.org/spreadsheetml/2006/main">
  <numFmts count="15">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quot;$&quot;#,##0.000_);\(&quot;$&quot;#,##0.000\)"/>
    <numFmt numFmtId="173" formatCode="&quot;$&quot;#,##0.00000_);\(&quot;$&quot;#,##0.00000\)"/>
  </numFmts>
  <fonts count="40">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s>
  <fills count="13">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s>
  <borders count="1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ck">
        <color indexed="64"/>
      </top>
      <bottom/>
      <diagonal/>
    </border>
    <border>
      <left style="thin">
        <color indexed="64"/>
      </left>
      <right/>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medium">
        <color indexed="64"/>
      </left>
      <right/>
      <top style="thick">
        <color indexed="64"/>
      </top>
      <bottom style="thick">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051">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1"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22" fillId="0" borderId="0" xfId="0" applyFont="1" applyFill="1" applyAlignment="1">
      <alignment vertical="center"/>
    </xf>
    <xf numFmtId="0" fontId="22" fillId="0" borderId="0" xfId="0" applyFont="1" applyBorder="1" applyAlignment="1">
      <alignment vertical="center"/>
    </xf>
    <xf numFmtId="5" fontId="22" fillId="0" borderId="0" xfId="0" applyNumberFormat="1" applyFont="1" applyAlignment="1">
      <alignment vertical="center"/>
    </xf>
    <xf numFmtId="0" fontId="22" fillId="0" borderId="8" xfId="0" applyFont="1" applyBorder="1" applyAlignment="1">
      <alignment vertical="center"/>
    </xf>
    <xf numFmtId="0" fontId="22" fillId="0" borderId="18" xfId="0" applyFont="1" applyBorder="1" applyAlignment="1">
      <alignment vertical="center"/>
    </xf>
    <xf numFmtId="0" fontId="25" fillId="0" borderId="0" xfId="0" applyFont="1" applyBorder="1" applyAlignment="1">
      <alignment horizontal="center" vertical="center" textRotation="90" wrapText="1"/>
    </xf>
    <xf numFmtId="0" fontId="24" fillId="0" borderId="0" xfId="0" applyFont="1" applyAlignment="1">
      <alignment horizontal="center" vertical="center" wrapText="1"/>
    </xf>
    <xf numFmtId="0" fontId="25" fillId="0" borderId="0" xfId="0" applyFont="1" applyFill="1" applyBorder="1" applyAlignment="1">
      <alignment vertical="center"/>
    </xf>
    <xf numFmtId="0" fontId="22" fillId="0" borderId="23"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5" fillId="11" borderId="79" xfId="0" applyFont="1" applyFill="1" applyBorder="1" applyAlignment="1">
      <alignment vertical="center"/>
    </xf>
    <xf numFmtId="0" fontId="22" fillId="11" borderId="80" xfId="0" applyFont="1" applyFill="1" applyBorder="1" applyAlignment="1">
      <alignment vertical="center"/>
    </xf>
    <xf numFmtId="0" fontId="22" fillId="11" borderId="81" xfId="0" applyFont="1" applyFill="1" applyBorder="1" applyAlignment="1">
      <alignment vertical="center"/>
    </xf>
    <xf numFmtId="0" fontId="22" fillId="0" borderId="24" xfId="0" applyFont="1" applyBorder="1" applyAlignment="1">
      <alignment vertical="center"/>
    </xf>
    <xf numFmtId="0" fontId="22" fillId="0" borderId="22" xfId="0" applyFont="1" applyBorder="1" applyAlignment="1">
      <alignment vertical="center"/>
    </xf>
    <xf numFmtId="0" fontId="22" fillId="0" borderId="47" xfId="0" applyFont="1" applyBorder="1" applyAlignment="1">
      <alignment vertical="center"/>
    </xf>
    <xf numFmtId="0" fontId="22" fillId="0" borderId="82" xfId="0" applyFont="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23" xfId="0" applyFont="1" applyBorder="1" applyAlignment="1">
      <alignment horizontal="left" vertical="center" wrapText="1"/>
    </xf>
    <xf numFmtId="7" fontId="22" fillId="0" borderId="24" xfId="0" applyNumberFormat="1" applyFont="1" applyBorder="1" applyAlignment="1">
      <alignment horizontal="center" vertical="center" wrapText="1"/>
    </xf>
    <xf numFmtId="0" fontId="22" fillId="0" borderId="20" xfId="0" applyFont="1" applyBorder="1" applyAlignment="1">
      <alignment horizontal="left" vertical="center" wrapText="1"/>
    </xf>
    <xf numFmtId="7" fontId="22" fillId="0" borderId="22" xfId="0" applyNumberFormat="1" applyFont="1" applyBorder="1" applyAlignment="1">
      <alignment horizontal="center" vertical="center" wrapText="1"/>
    </xf>
    <xf numFmtId="0" fontId="24" fillId="11" borderId="79" xfId="0" applyFont="1" applyFill="1" applyBorder="1" applyAlignment="1">
      <alignment vertical="center"/>
    </xf>
    <xf numFmtId="0" fontId="25" fillId="11" borderId="81" xfId="0" applyFont="1" applyFill="1" applyBorder="1" applyAlignment="1">
      <alignment horizontal="center" vertical="center" wrapText="1"/>
    </xf>
    <xf numFmtId="0" fontId="25" fillId="0" borderId="79" xfId="0" applyFont="1" applyFill="1" applyBorder="1" applyAlignment="1">
      <alignment vertical="center"/>
    </xf>
    <xf numFmtId="0" fontId="22" fillId="11" borderId="80" xfId="0" applyFont="1" applyFill="1" applyBorder="1" applyAlignment="1">
      <alignment horizontal="center" vertical="center"/>
    </xf>
    <xf numFmtId="5" fontId="26" fillId="0" borderId="0" xfId="1" applyNumberFormat="1" applyFont="1" applyFill="1" applyAlignment="1">
      <alignment horizontal="center" vertical="center"/>
    </xf>
    <xf numFmtId="5" fontId="27" fillId="0" borderId="0" xfId="1" applyNumberFormat="1" applyFont="1" applyBorder="1" applyAlignment="1">
      <alignment horizontal="center" vertical="center"/>
    </xf>
    <xf numFmtId="0" fontId="22" fillId="0" borderId="0" xfId="0" applyFont="1" applyAlignment="1">
      <alignment horizontal="center" vertical="center"/>
    </xf>
    <xf numFmtId="5" fontId="27"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8" fillId="0" borderId="80" xfId="1" applyNumberFormat="1" applyFont="1" applyFill="1" applyBorder="1" applyAlignment="1">
      <alignment horizontal="center" vertical="center"/>
    </xf>
    <xf numFmtId="0" fontId="29" fillId="0" borderId="0" xfId="0" applyFont="1" applyBorder="1" applyAlignment="1">
      <alignment horizontal="center" vertical="center"/>
    </xf>
    <xf numFmtId="5" fontId="29" fillId="0" borderId="0" xfId="1" applyNumberFormat="1" applyFont="1" applyBorder="1" applyAlignment="1">
      <alignment horizontal="center" vertical="center"/>
    </xf>
    <xf numFmtId="5" fontId="29" fillId="0" borderId="21" xfId="1" applyNumberFormat="1" applyFont="1" applyBorder="1" applyAlignment="1">
      <alignment horizontal="center" vertical="center"/>
    </xf>
    <xf numFmtId="5" fontId="29" fillId="0" borderId="8" xfId="1" applyNumberFormat="1" applyFont="1" applyBorder="1" applyAlignment="1">
      <alignment horizontal="center" vertical="center"/>
    </xf>
    <xf numFmtId="0" fontId="29"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164" fontId="8" fillId="0" borderId="0" xfId="1" applyNumberFormat="1" applyFont="1" applyFill="1" applyBorder="1" applyAlignment="1">
      <alignment horizontal="left" vertical="center" wrapText="1"/>
    </xf>
    <xf numFmtId="9" fontId="30"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6" xfId="1" applyNumberFormat="1" applyFont="1" applyBorder="1" applyAlignment="1">
      <alignment vertical="center"/>
    </xf>
    <xf numFmtId="164" fontId="7" fillId="0" borderId="97" xfId="1" applyNumberFormat="1" applyFont="1" applyBorder="1" applyAlignment="1">
      <alignment vertical="center"/>
    </xf>
    <xf numFmtId="165" fontId="0" fillId="0" borderId="98" xfId="2" applyNumberFormat="1" applyFont="1" applyBorder="1" applyAlignment="1">
      <alignment horizontal="center" vertical="center"/>
    </xf>
    <xf numFmtId="164" fontId="0"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4" fillId="0" borderId="0" xfId="0" applyFont="1" applyAlignment="1">
      <alignment horizontal="center" vertical="center" wrapText="1"/>
    </xf>
    <xf numFmtId="0" fontId="25" fillId="0" borderId="17" xfId="0" applyFont="1" applyFill="1" applyBorder="1" applyAlignment="1">
      <alignment vertical="center"/>
    </xf>
    <xf numFmtId="5" fontId="28" fillId="0" borderId="18" xfId="1" applyNumberFormat="1" applyFont="1" applyFill="1" applyBorder="1" applyAlignment="1">
      <alignment horizontal="center" vertical="center"/>
    </xf>
    <xf numFmtId="5" fontId="28" fillId="0" borderId="21" xfId="1" applyNumberFormat="1" applyFont="1" applyFill="1" applyBorder="1" applyAlignment="1">
      <alignment horizontal="center" vertical="center"/>
    </xf>
    <xf numFmtId="0" fontId="22"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2"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64" fontId="0" fillId="0" borderId="0" xfId="1" quotePrefix="1" applyNumberFormat="1" applyFont="1" applyBorder="1" applyAlignment="1">
      <alignment horizontal="center" vertical="center" wrapText="1"/>
    </xf>
    <xf numFmtId="173" fontId="0" fillId="0" borderId="0" xfId="0" applyNumberForma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6" fontId="31" fillId="0" borderId="0" xfId="0" applyNumberFormat="1" applyFont="1" applyAlignment="1">
      <alignment horizontal="center" vertical="center"/>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0" fontId="31" fillId="0" borderId="0" xfId="0" applyFont="1"/>
    <xf numFmtId="0" fontId="31" fillId="0" borderId="0" xfId="0" quotePrefix="1" applyFont="1" applyAlignment="1">
      <alignment horizontal="center"/>
    </xf>
    <xf numFmtId="0" fontId="31" fillId="0" borderId="31" xfId="0" applyFont="1" applyBorder="1"/>
    <xf numFmtId="167" fontId="33" fillId="0" borderId="31" xfId="3" applyNumberFormat="1" applyFont="1" applyBorder="1"/>
    <xf numFmtId="0" fontId="31" fillId="0" borderId="28" xfId="0" applyFont="1" applyBorder="1"/>
    <xf numFmtId="167" fontId="33" fillId="0" borderId="28" xfId="3" applyNumberFormat="1" applyFont="1" applyBorder="1"/>
    <xf numFmtId="0" fontId="31" fillId="0" borderId="26" xfId="0" applyFont="1" applyFill="1" applyBorder="1"/>
    <xf numFmtId="0" fontId="21" fillId="0" borderId="7" xfId="0" applyFont="1" applyBorder="1" applyAlignment="1">
      <alignment horizontal="center" vertical="center" wrapText="1"/>
    </xf>
    <xf numFmtId="167" fontId="37" fillId="11" borderId="7" xfId="3" applyNumberFormat="1" applyFont="1" applyFill="1" applyBorder="1"/>
    <xf numFmtId="167" fontId="33" fillId="0" borderId="5" xfId="3" applyNumberFormat="1" applyFont="1" applyBorder="1"/>
    <xf numFmtId="167" fontId="33" fillId="0" borderId="25" xfId="3" applyNumberFormat="1" applyFont="1" applyBorder="1"/>
    <xf numFmtId="167" fontId="33" fillId="0" borderId="26" xfId="3" applyNumberFormat="1" applyFont="1" applyBorder="1"/>
    <xf numFmtId="0" fontId="31" fillId="0" borderId="0" xfId="0" applyFont="1" applyBorder="1"/>
    <xf numFmtId="167" fontId="31" fillId="0" borderId="26" xfId="0" applyNumberFormat="1" applyFont="1" applyBorder="1"/>
    <xf numFmtId="0" fontId="31" fillId="0" borderId="10" xfId="0" applyFont="1" applyBorder="1"/>
    <xf numFmtId="167" fontId="34" fillId="0" borderId="29" xfId="3" applyNumberFormat="1" applyFont="1" applyBorder="1"/>
    <xf numFmtId="0" fontId="31" fillId="0" borderId="29" xfId="0" applyFont="1" applyBorder="1"/>
    <xf numFmtId="167" fontId="34" fillId="0" borderId="31" xfId="3" applyNumberFormat="1" applyFont="1" applyBorder="1"/>
    <xf numFmtId="0" fontId="21" fillId="11" borderId="7" xfId="0" applyFont="1" applyFill="1" applyBorder="1" applyAlignment="1">
      <alignment horizontal="center"/>
    </xf>
    <xf numFmtId="167" fontId="33" fillId="0" borderId="25" xfId="3" applyNumberFormat="1" applyFont="1" applyFill="1" applyBorder="1"/>
    <xf numFmtId="167" fontId="37" fillId="0" borderId="25" xfId="3" applyNumberFormat="1" applyFont="1" applyFill="1" applyBorder="1"/>
    <xf numFmtId="167" fontId="33" fillId="0" borderId="0" xfId="3" applyNumberFormat="1" applyFont="1" applyBorder="1"/>
    <xf numFmtId="167" fontId="33" fillId="0" borderId="29" xfId="3" applyNumberFormat="1" applyFont="1" applyBorder="1"/>
    <xf numFmtId="167" fontId="33" fillId="0" borderId="6" xfId="3" applyNumberFormat="1" applyFont="1" applyFill="1" applyBorder="1"/>
    <xf numFmtId="167" fontId="33" fillId="0" borderId="0" xfId="3" applyNumberFormat="1" applyFont="1" applyFill="1" applyBorder="1"/>
    <xf numFmtId="167" fontId="37" fillId="0" borderId="0" xfId="3" applyNumberFormat="1" applyFont="1" applyFill="1" applyBorder="1"/>
    <xf numFmtId="167" fontId="31" fillId="0" borderId="29" xfId="0" applyNumberFormat="1" applyFont="1" applyBorder="1"/>
    <xf numFmtId="0" fontId="31" fillId="0" borderId="0" xfId="0" applyFont="1" applyFill="1"/>
    <xf numFmtId="0" fontId="31" fillId="0" borderId="6" xfId="0" applyFont="1" applyFill="1" applyBorder="1"/>
    <xf numFmtId="0" fontId="31" fillId="0" borderId="0" xfId="0" applyFont="1" applyFill="1" applyBorder="1"/>
    <xf numFmtId="0" fontId="21" fillId="0" borderId="0" xfId="0" applyFont="1" applyFill="1" applyBorder="1"/>
    <xf numFmtId="0" fontId="21" fillId="0" borderId="0" xfId="0" applyFont="1" applyFill="1" applyBorder="1" applyAlignment="1">
      <alignment vertical="center"/>
    </xf>
    <xf numFmtId="0" fontId="21" fillId="0" borderId="8" xfId="0" applyFont="1" applyFill="1" applyBorder="1" applyAlignment="1"/>
    <xf numFmtId="0" fontId="21" fillId="0" borderId="0" xfId="0" applyFont="1" applyBorder="1"/>
    <xf numFmtId="0" fontId="21" fillId="0" borderId="26" xfId="0" applyFont="1" applyFill="1" applyBorder="1" applyAlignment="1">
      <alignment horizontal="center" vertical="center" wrapText="1"/>
    </xf>
    <xf numFmtId="167" fontId="33" fillId="0" borderId="26" xfId="3" applyNumberFormat="1" applyFont="1" applyFill="1" applyBorder="1"/>
    <xf numFmtId="167" fontId="31" fillId="0" borderId="26" xfId="0" applyNumberFormat="1" applyFont="1" applyFill="1" applyBorder="1"/>
    <xf numFmtId="167" fontId="37" fillId="0" borderId="26" xfId="3" applyNumberFormat="1" applyFont="1" applyFill="1" applyBorder="1"/>
    <xf numFmtId="0" fontId="21" fillId="0" borderId="25" xfId="0" applyFont="1" applyFill="1" applyBorder="1" applyAlignment="1">
      <alignment horizontal="center" vertical="center"/>
    </xf>
    <xf numFmtId="0" fontId="21" fillId="0" borderId="25" xfId="0" applyFont="1" applyBorder="1" applyAlignment="1">
      <alignment horizontal="center" vertical="center" wrapText="1"/>
    </xf>
    <xf numFmtId="167" fontId="31" fillId="0" borderId="25" xfId="0" applyNumberFormat="1" applyFont="1" applyFill="1" applyBorder="1"/>
    <xf numFmtId="0" fontId="31" fillId="0" borderId="25" xfId="0" applyFont="1" applyFill="1" applyBorder="1"/>
    <xf numFmtId="0" fontId="21" fillId="0" borderId="0" xfId="0" applyFont="1" applyFill="1" applyBorder="1" applyAlignment="1"/>
    <xf numFmtId="0" fontId="21" fillId="0" borderId="0" xfId="0" applyFont="1" applyBorder="1" applyAlignment="1">
      <alignment horizontal="center" vertical="center" wrapText="1"/>
    </xf>
    <xf numFmtId="167" fontId="31" fillId="0" borderId="0" xfId="0" applyNumberFormat="1" applyFont="1" applyFill="1" applyBorder="1"/>
    <xf numFmtId="167" fontId="34" fillId="0" borderId="28" xfId="3" applyNumberFormat="1" applyFont="1" applyBorder="1"/>
    <xf numFmtId="0" fontId="24" fillId="0" borderId="0" xfId="0" applyFont="1" applyAlignment="1">
      <alignment horizontal="center" vertical="center" wrapText="1"/>
    </xf>
    <xf numFmtId="43" fontId="24" fillId="0" borderId="0" xfId="3" applyFont="1" applyAlignment="1">
      <alignment horizontal="center" vertical="center" wrapText="1"/>
    </xf>
    <xf numFmtId="164" fontId="7" fillId="0" borderId="97" xfId="1" applyNumberFormat="1" applyFont="1" applyFill="1" applyBorder="1" applyAlignment="1">
      <alignment vertical="center"/>
    </xf>
    <xf numFmtId="0" fontId="22" fillId="0" borderId="0" xfId="0" applyFont="1" applyBorder="1" applyAlignment="1">
      <alignment horizontal="left" vertical="center" wrapText="1"/>
    </xf>
    <xf numFmtId="0" fontId="24" fillId="0" borderId="0" xfId="0" applyFont="1" applyAlignment="1">
      <alignment horizontal="center" vertical="center" wrapText="1"/>
    </xf>
    <xf numFmtId="164" fontId="2" fillId="11" borderId="101" xfId="0" applyNumberFormat="1" applyFont="1" applyFill="1" applyBorder="1"/>
    <xf numFmtId="0" fontId="21"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8" fillId="0" borderId="0" xfId="3" applyNumberFormat="1" applyFont="1" applyBorder="1"/>
    <xf numFmtId="167" fontId="39"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2" fillId="0" borderId="0" xfId="0" applyNumberFormat="1" applyFont="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167" fontId="27" fillId="0" borderId="6" xfId="3" applyNumberFormat="1" applyFont="1" applyBorder="1" applyAlignment="1">
      <alignment horizontal="center" vertical="center" wrapText="1"/>
    </xf>
    <xf numFmtId="167" fontId="22" fillId="0" borderId="6" xfId="3" applyNumberFormat="1" applyFont="1" applyBorder="1" applyAlignment="1">
      <alignment horizontal="center" vertical="center" wrapText="1"/>
    </xf>
    <xf numFmtId="0" fontId="22" fillId="0" borderId="0" xfId="0" applyFont="1" applyBorder="1" applyAlignment="1">
      <alignment horizontal="center" vertical="center" wrapText="1"/>
    </xf>
    <xf numFmtId="167" fontId="22" fillId="0" borderId="0" xfId="3" applyNumberFormat="1" applyFont="1" applyBorder="1" applyAlignment="1">
      <alignment horizontal="center" vertical="center" wrapText="1"/>
    </xf>
    <xf numFmtId="167" fontId="22" fillId="0" borderId="0" xfId="0" applyNumberFormat="1" applyFont="1" applyBorder="1" applyAlignment="1">
      <alignment horizontal="center" vertical="center" wrapText="1"/>
    </xf>
    <xf numFmtId="0" fontId="22" fillId="0" borderId="8" xfId="0" applyFont="1" applyBorder="1" applyAlignment="1">
      <alignment horizontal="center" vertical="center"/>
    </xf>
    <xf numFmtId="9" fontId="22" fillId="0" borderId="8" xfId="2" applyFont="1" applyBorder="1" applyAlignment="1">
      <alignment horizontal="right" vertical="center"/>
    </xf>
    <xf numFmtId="0" fontId="22" fillId="0" borderId="0" xfId="0" applyFont="1" applyBorder="1" applyAlignment="1">
      <alignment horizontal="center" vertical="center"/>
    </xf>
    <xf numFmtId="9" fontId="22" fillId="0" borderId="0" xfId="2" applyFont="1" applyBorder="1" applyAlignment="1">
      <alignment horizontal="right" vertical="center"/>
    </xf>
    <xf numFmtId="0" fontId="27" fillId="0" borderId="6"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4" fillId="11" borderId="18" xfId="0" applyFont="1" applyFill="1" applyBorder="1" applyAlignment="1">
      <alignment horizontal="left" vertical="center"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5" fillId="11" borderId="21" xfId="0" applyFont="1" applyFill="1" applyBorder="1" applyAlignment="1">
      <alignment vertical="center"/>
    </xf>
    <xf numFmtId="0" fontId="25" fillId="11" borderId="21" xfId="0" applyFont="1" applyFill="1" applyBorder="1" applyAlignment="1">
      <alignment horizontal="center" vertical="center"/>
    </xf>
    <xf numFmtId="0" fontId="25" fillId="11" borderId="21" xfId="0" applyFont="1" applyFill="1" applyBorder="1" applyAlignment="1">
      <alignment horizontal="left" vertical="center" wrapText="1"/>
    </xf>
    <xf numFmtId="0" fontId="24" fillId="11" borderId="22" xfId="0" applyFont="1" applyFill="1" applyBorder="1" applyAlignment="1">
      <alignment horizontal="center" vertical="center" wrapText="1"/>
    </xf>
    <xf numFmtId="0" fontId="27" fillId="0" borderId="0" xfId="0" applyFont="1" applyBorder="1" applyAlignment="1">
      <alignment horizontal="center" vertical="center"/>
    </xf>
    <xf numFmtId="5" fontId="22" fillId="0" borderId="0" xfId="0" applyNumberFormat="1" applyFont="1" applyBorder="1" applyAlignment="1">
      <alignment vertical="center"/>
    </xf>
    <xf numFmtId="0" fontId="22"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167" fontId="22" fillId="0" borderId="18" xfId="3"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1" xfId="0" applyFont="1" applyBorder="1" applyAlignment="1">
      <alignment horizontal="center" vertical="center"/>
    </xf>
    <xf numFmtId="9" fontId="22" fillId="0" borderId="21" xfId="2" applyFont="1" applyBorder="1" applyAlignment="1">
      <alignment horizontal="right" vertical="center"/>
    </xf>
    <xf numFmtId="0" fontId="22" fillId="0" borderId="0" xfId="0" applyFont="1" applyBorder="1" applyAlignment="1">
      <alignment horizontal="left" vertical="top" wrapText="1"/>
    </xf>
    <xf numFmtId="7" fontId="27" fillId="0" borderId="0" xfId="1" applyNumberFormat="1" applyFont="1" applyBorder="1" applyAlignment="1">
      <alignment horizontal="center" vertical="center"/>
    </xf>
    <xf numFmtId="7" fontId="27" fillId="0" borderId="8" xfId="1" applyNumberFormat="1" applyFont="1" applyBorder="1" applyAlignment="1">
      <alignment horizontal="center" vertical="center"/>
    </xf>
    <xf numFmtId="7" fontId="27" fillId="0" borderId="6" xfId="1" applyNumberFormat="1" applyFont="1" applyBorder="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5" fontId="27" fillId="0" borderId="2" xfId="0" applyNumberFormat="1" applyFont="1" applyBorder="1" applyAlignment="1">
      <alignment vertical="center"/>
    </xf>
    <xf numFmtId="5" fontId="27" fillId="0" borderId="8" xfId="0" applyNumberFormat="1"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21" xfId="0" applyFont="1" applyBorder="1" applyAlignment="1">
      <alignment horizontal="left" vertical="center"/>
    </xf>
    <xf numFmtId="7" fontId="27" fillId="0" borderId="21" xfId="1" applyNumberFormat="1" applyFont="1" applyBorder="1" applyAlignment="1">
      <alignment horizontal="center" vertical="center"/>
    </xf>
    <xf numFmtId="167" fontId="22" fillId="0" borderId="0" xfId="0" applyNumberFormat="1" applyFont="1" applyAlignment="1">
      <alignment vertical="center"/>
    </xf>
    <xf numFmtId="5" fontId="27" fillId="0" borderId="6" xfId="0" applyNumberFormat="1" applyFont="1" applyBorder="1" applyAlignment="1">
      <alignment vertical="center"/>
    </xf>
    <xf numFmtId="165" fontId="22" fillId="0" borderId="21" xfId="2" applyNumberFormat="1" applyFont="1" applyBorder="1" applyAlignment="1">
      <alignment horizontal="right" vertical="center"/>
    </xf>
    <xf numFmtId="9" fontId="22" fillId="0" borderId="8" xfId="2" applyNumberFormat="1" applyFont="1" applyBorder="1" applyAlignment="1">
      <alignment horizontal="right"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1" fillId="0" borderId="0" xfId="1" applyNumberFormat="1" applyFont="1" applyAlignment="1">
      <alignment vertical="center"/>
    </xf>
    <xf numFmtId="164" fontId="15" fillId="0" borderId="103" xfId="1" applyNumberFormat="1" applyFont="1" applyBorder="1" applyAlignment="1">
      <alignment vertical="center"/>
    </xf>
    <xf numFmtId="164" fontId="39" fillId="0" borderId="103" xfId="1" applyNumberFormat="1" applyFont="1" applyBorder="1" applyAlignment="1">
      <alignment vertical="center"/>
    </xf>
    <xf numFmtId="165" fontId="13" fillId="7" borderId="0" xfId="2" applyNumberFormat="1" applyFont="1" applyFill="1" applyAlignment="1">
      <alignment horizontal="center" vertical="center"/>
    </xf>
    <xf numFmtId="164" fontId="0" fillId="0" borderId="104" xfId="1" applyNumberFormat="1" applyFont="1" applyBorder="1"/>
    <xf numFmtId="167" fontId="7" fillId="0" borderId="53" xfId="0" applyNumberFormat="1" applyFont="1" applyBorder="1"/>
    <xf numFmtId="10" fontId="15" fillId="0" borderId="26" xfId="2" applyNumberFormat="1" applyFont="1" applyFill="1" applyBorder="1" applyAlignment="1">
      <alignment horizontal="right" vertical="center"/>
    </xf>
    <xf numFmtId="5" fontId="13" fillId="0" borderId="10" xfId="0" applyNumberFormat="1" applyFont="1" applyFill="1" applyBorder="1" applyAlignment="1">
      <alignment vertical="center"/>
    </xf>
    <xf numFmtId="5" fontId="7" fillId="0" borderId="28" xfId="0" applyNumberFormat="1" applyFont="1" applyFill="1" applyBorder="1" applyAlignment="1">
      <alignment vertical="center"/>
    </xf>
    <xf numFmtId="5" fontId="13" fillId="11" borderId="28" xfId="1" applyNumberFormat="1" applyFont="1" applyFill="1" applyBorder="1" applyAlignment="1">
      <alignment horizontal="right" vertical="center"/>
    </xf>
    <xf numFmtId="5" fontId="15" fillId="11" borderId="28" xfId="0" applyNumberFormat="1" applyFont="1" applyFill="1" applyBorder="1" applyAlignment="1">
      <alignment vertical="center"/>
    </xf>
    <xf numFmtId="164" fontId="8" fillId="0" borderId="0" xfId="1" quotePrefix="1" applyNumberFormat="1" applyFont="1" applyFill="1" applyBorder="1" applyAlignment="1">
      <alignment horizontal="left" vertical="center" wrapText="1"/>
    </xf>
    <xf numFmtId="164" fontId="8" fillId="0" borderId="34" xfId="1" quotePrefix="1" applyNumberFormat="1" applyFont="1" applyFill="1" applyBorder="1" applyAlignment="1">
      <alignment horizontal="left" vertical="center" wrapText="1"/>
    </xf>
    <xf numFmtId="0" fontId="0" fillId="0" borderId="0" xfId="0" applyBorder="1" applyAlignment="1">
      <alignment wrapText="1"/>
    </xf>
    <xf numFmtId="0" fontId="0" fillId="0" borderId="26" xfId="0" applyBorder="1" applyAlignment="1">
      <alignment wrapText="1"/>
    </xf>
    <xf numFmtId="5" fontId="7" fillId="12" borderId="29" xfId="0" applyNumberFormat="1" applyFont="1" applyFill="1" applyBorder="1" applyAlignment="1">
      <alignment vertical="center"/>
    </xf>
    <xf numFmtId="9" fontId="7" fillId="12" borderId="28" xfId="0" applyNumberFormat="1" applyFont="1" applyFill="1" applyBorder="1" applyAlignment="1">
      <alignment vertical="center"/>
    </xf>
    <xf numFmtId="10" fontId="7" fillId="12" borderId="29" xfId="2" applyNumberFormat="1" applyFont="1" applyFill="1" applyBorder="1" applyAlignment="1">
      <alignment horizontal="right" vertical="center"/>
    </xf>
    <xf numFmtId="10" fontId="7" fillId="12" borderId="29" xfId="2" applyNumberFormat="1" applyFont="1" applyFill="1" applyBorder="1" applyAlignment="1">
      <alignment horizontal="center" vertical="center"/>
    </xf>
    <xf numFmtId="164" fontId="7" fillId="10" borderId="32" xfId="1" applyNumberFormat="1" applyFont="1" applyFill="1" applyBorder="1" applyAlignment="1">
      <alignment horizontal="left" vertical="center" wrapText="1"/>
    </xf>
    <xf numFmtId="164" fontId="8" fillId="0" borderId="0" xfId="1" applyNumberFormat="1" applyFont="1" applyFill="1" applyAlignment="1">
      <alignment vertical="center" wrapText="1"/>
    </xf>
    <xf numFmtId="9" fontId="0" fillId="0" borderId="0" xfId="2" applyFont="1" applyAlignment="1">
      <alignment vertical="center"/>
    </xf>
    <xf numFmtId="164" fontId="8" fillId="0" borderId="32" xfId="1" applyNumberFormat="1" applyFont="1" applyFill="1" applyBorder="1" applyAlignment="1">
      <alignment horizontal="left" vertical="center" wrapText="1"/>
    </xf>
    <xf numFmtId="37" fontId="15" fillId="0" borderId="0" xfId="1" applyNumberFormat="1" applyFont="1" applyFill="1" applyBorder="1" applyAlignment="1">
      <alignment horizontal="center" vertical="center"/>
    </xf>
    <xf numFmtId="7" fontId="15" fillId="0" borderId="0" xfId="1" applyNumberFormat="1" applyFont="1" applyBorder="1" applyAlignment="1">
      <alignment horizontal="center" vertical="center"/>
    </xf>
    <xf numFmtId="165" fontId="1" fillId="0" borderId="0" xfId="2" applyNumberFormat="1" applyFont="1" applyFill="1" applyBorder="1" applyAlignment="1">
      <alignment horizontal="center" vertical="center"/>
    </xf>
    <xf numFmtId="44" fontId="15" fillId="0" borderId="0" xfId="1" applyNumberFormat="1" applyFont="1" applyBorder="1" applyAlignment="1">
      <alignment horizontal="center" vertical="center"/>
    </xf>
    <xf numFmtId="164" fontId="14" fillId="0" borderId="0" xfId="1" applyNumberFormat="1" applyFont="1" applyBorder="1" applyAlignment="1">
      <alignment vertical="center"/>
    </xf>
    <xf numFmtId="164" fontId="7" fillId="0" borderId="0" xfId="1" applyNumberFormat="1" applyFont="1" applyFill="1" applyBorder="1" applyAlignment="1">
      <alignment vertical="center"/>
    </xf>
    <xf numFmtId="44" fontId="7" fillId="0" borderId="0" xfId="1" quotePrefix="1" applyNumberFormat="1" applyFont="1" applyFill="1" applyBorder="1" applyAlignment="1">
      <alignment horizontal="left" vertical="center" wrapText="1"/>
    </xf>
    <xf numFmtId="7" fontId="13" fillId="0" borderId="33" xfId="1" applyNumberFormat="1" applyFont="1" applyBorder="1" applyAlignment="1">
      <alignment horizontal="center" vertical="center"/>
    </xf>
    <xf numFmtId="165" fontId="13" fillId="0" borderId="33" xfId="2" applyNumberFormat="1" applyFont="1" applyBorder="1" applyAlignment="1">
      <alignment horizontal="center" vertical="center"/>
    </xf>
    <xf numFmtId="5" fontId="13" fillId="11" borderId="85" xfId="1" applyNumberFormat="1" applyFont="1" applyFill="1" applyBorder="1" applyAlignment="1">
      <alignment horizontal="center" vertical="center"/>
    </xf>
    <xf numFmtId="44" fontId="8" fillId="0" borderId="33" xfId="1" applyNumberFormat="1" applyFont="1" applyFill="1" applyBorder="1" applyAlignment="1">
      <alignment horizontal="left" vertical="center" wrapText="1"/>
    </xf>
    <xf numFmtId="164" fontId="15" fillId="10" borderId="33" xfId="1" applyNumberFormat="1" applyFont="1" applyFill="1" applyBorder="1" applyAlignment="1">
      <alignment vertical="center"/>
    </xf>
    <xf numFmtId="43" fontId="0" fillId="0" borderId="0" xfId="3" applyFont="1" applyBorder="1" applyAlignment="1">
      <alignment horizontal="center" wrapText="1"/>
    </xf>
    <xf numFmtId="0" fontId="0" fillId="0" borderId="0" xfId="0" applyAlignment="1">
      <alignment vertical="center" wrapText="1"/>
    </xf>
    <xf numFmtId="165" fontId="7" fillId="0" borderId="33" xfId="2" applyNumberFormat="1" applyFont="1" applyFill="1" applyBorder="1" applyAlignment="1">
      <alignment horizontal="left" vertical="center" wrapText="1"/>
    </xf>
    <xf numFmtId="0" fontId="12" fillId="0" borderId="0" xfId="0" applyFont="1" applyAlignment="1">
      <alignment vertical="center"/>
    </xf>
    <xf numFmtId="0" fontId="12" fillId="0" borderId="0" xfId="0" applyFont="1" applyFill="1" applyBorder="1" applyAlignment="1">
      <alignment vertical="center"/>
    </xf>
    <xf numFmtId="5" fontId="12" fillId="0" borderId="0" xfId="0" applyNumberFormat="1" applyFont="1" applyFill="1" applyBorder="1" applyAlignment="1">
      <alignment vertical="center"/>
    </xf>
    <xf numFmtId="0" fontId="12" fillId="0" borderId="8" xfId="0" applyFont="1" applyFill="1" applyBorder="1" applyAlignment="1">
      <alignment vertical="center"/>
    </xf>
    <xf numFmtId="2" fontId="0" fillId="0" borderId="0" xfId="0" applyNumberFormat="1" applyAlignment="1">
      <alignment vertical="center"/>
    </xf>
    <xf numFmtId="5" fontId="2" fillId="12" borderId="3" xfId="0" applyNumberFormat="1" applyFont="1" applyFill="1" applyBorder="1" applyAlignment="1">
      <alignment vertical="center"/>
    </xf>
    <xf numFmtId="0" fontId="2" fillId="11" borderId="111" xfId="0" applyFont="1" applyFill="1" applyBorder="1" applyAlignment="1">
      <alignment vertical="center"/>
    </xf>
    <xf numFmtId="5" fontId="2" fillId="11" borderId="56" xfId="0" applyNumberFormat="1" applyFont="1" applyFill="1" applyBorder="1" applyAlignment="1">
      <alignment vertical="center"/>
    </xf>
    <xf numFmtId="5" fontId="2" fillId="11" borderId="112" xfId="0" applyNumberFormat="1" applyFont="1" applyFill="1" applyBorder="1" applyAlignment="1">
      <alignment vertical="center"/>
    </xf>
    <xf numFmtId="5" fontId="2" fillId="0" borderId="113" xfId="0" applyNumberFormat="1" applyFont="1" applyFill="1" applyBorder="1" applyAlignment="1">
      <alignment vertical="center"/>
    </xf>
    <xf numFmtId="5" fontId="0" fillId="0" borderId="56" xfId="0" applyNumberFormat="1" applyBorder="1" applyAlignment="1">
      <alignment vertical="center"/>
    </xf>
    <xf numFmtId="5" fontId="2" fillId="12" borderId="113" xfId="0" applyNumberFormat="1" applyFont="1" applyFill="1" applyBorder="1" applyAlignment="1">
      <alignment vertical="center"/>
    </xf>
    <xf numFmtId="5" fontId="2" fillId="11" borderId="110" xfId="0" applyNumberFormat="1" applyFont="1" applyFill="1" applyBorder="1" applyAlignment="1">
      <alignment vertical="center"/>
    </xf>
    <xf numFmtId="43" fontId="0" fillId="0" borderId="25" xfId="3" applyFont="1" applyBorder="1" applyAlignment="1">
      <alignment vertical="center" wrapText="1"/>
    </xf>
    <xf numFmtId="43" fontId="0" fillId="0" borderId="0" xfId="3" applyFont="1" applyBorder="1" applyAlignment="1">
      <alignment vertical="center" wrapText="1"/>
    </xf>
    <xf numFmtId="0" fontId="2" fillId="0" borderId="7"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12" borderId="7" xfId="0" applyFont="1" applyFill="1" applyBorder="1" applyAlignment="1">
      <alignment horizontal="center" vertical="center"/>
    </xf>
    <xf numFmtId="0" fontId="2" fillId="11" borderId="7" xfId="0" applyFont="1" applyFill="1" applyBorder="1" applyAlignment="1">
      <alignment horizontal="center" vertical="center"/>
    </xf>
    <xf numFmtId="5" fontId="8" fillId="0" borderId="114" xfId="1" applyNumberFormat="1" applyFont="1" applyFill="1" applyBorder="1" applyAlignment="1">
      <alignment vertical="center"/>
    </xf>
    <xf numFmtId="165" fontId="8" fillId="0" borderId="115" xfId="2" applyNumberFormat="1" applyFont="1" applyFill="1" applyBorder="1" applyAlignment="1">
      <alignment vertical="center"/>
    </xf>
    <xf numFmtId="5" fontId="8" fillId="11" borderId="110" xfId="1" applyNumberFormat="1" applyFont="1" applyFill="1" applyBorder="1" applyAlignment="1">
      <alignment vertical="center"/>
    </xf>
    <xf numFmtId="5" fontId="8" fillId="0" borderId="116" xfId="1" applyNumberFormat="1" applyFont="1" applyFill="1" applyBorder="1" applyAlignment="1">
      <alignment vertical="center"/>
    </xf>
    <xf numFmtId="5" fontId="8" fillId="11" borderId="85" xfId="1" applyNumberFormat="1" applyFont="1" applyFill="1" applyBorder="1" applyAlignment="1">
      <alignment vertical="center"/>
    </xf>
    <xf numFmtId="5" fontId="8" fillId="0" borderId="90" xfId="1" applyNumberFormat="1" applyFont="1" applyFill="1" applyBorder="1" applyAlignment="1">
      <alignment vertical="center"/>
    </xf>
    <xf numFmtId="165" fontId="8" fillId="0" borderId="89" xfId="2" applyNumberFormat="1" applyFont="1" applyFill="1" applyBorder="1" applyAlignment="1">
      <alignment vertical="center"/>
    </xf>
    <xf numFmtId="0" fontId="0" fillId="0" borderId="8" xfId="0" applyBorder="1" applyAlignment="1">
      <alignment vertical="center" wrapText="1"/>
    </xf>
    <xf numFmtId="0" fontId="21" fillId="11" borderId="1" xfId="0" applyFont="1" applyFill="1" applyBorder="1" applyAlignment="1">
      <alignment horizontal="center" vertical="center"/>
    </xf>
    <xf numFmtId="0" fontId="21" fillId="11" borderId="3" xfId="0" applyFont="1" applyFill="1" applyBorder="1" applyAlignment="1">
      <alignment horizontal="center" vertical="center"/>
    </xf>
    <xf numFmtId="0" fontId="32" fillId="0" borderId="0" xfId="0" applyFont="1" applyAlignment="1">
      <alignment horizont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2"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0" fontId="21" fillId="0" borderId="0" xfId="0" applyFont="1" applyAlignment="1">
      <alignment horizontal="center"/>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0" fontId="22" fillId="0" borderId="19" xfId="0" applyFont="1" applyBorder="1" applyAlignment="1">
      <alignment horizontal="left" vertical="top" wrapText="1"/>
    </xf>
    <xf numFmtId="0" fontId="22" fillId="0" borderId="24" xfId="0" applyFont="1" applyBorder="1" applyAlignment="1">
      <alignment horizontal="left" vertical="top" wrapText="1"/>
    </xf>
    <xf numFmtId="0" fontId="22" fillId="0" borderId="82" xfId="0" applyFont="1" applyBorder="1" applyAlignment="1">
      <alignment horizontal="left" vertical="top" wrapText="1"/>
    </xf>
    <xf numFmtId="0" fontId="22" fillId="0" borderId="105" xfId="0" applyFont="1" applyBorder="1" applyAlignment="1">
      <alignment horizontal="left" vertical="top" wrapText="1"/>
    </xf>
    <xf numFmtId="0" fontId="22" fillId="0" borderId="22" xfId="0" applyFont="1" applyBorder="1" applyAlignment="1">
      <alignment horizontal="left" vertical="top"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4" fillId="11" borderId="17" xfId="0" applyFont="1" applyFill="1" applyBorder="1" applyAlignment="1">
      <alignment horizontal="left" vertical="center" wrapText="1"/>
    </xf>
    <xf numFmtId="0" fontId="24" fillId="11" borderId="18" xfId="0" applyFont="1" applyFill="1" applyBorder="1" applyAlignment="1">
      <alignment horizontal="left" vertical="center" wrapText="1"/>
    </xf>
    <xf numFmtId="0" fontId="25" fillId="11" borderId="18" xfId="0"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2" fillId="0" borderId="6" xfId="0" applyFont="1" applyBorder="1" applyAlignment="1">
      <alignment horizontal="left" vertical="top" wrapText="1"/>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0" fontId="24" fillId="11" borderId="20" xfId="0" applyFont="1" applyFill="1" applyBorder="1" applyAlignment="1">
      <alignment horizontal="left" vertical="center" wrapText="1"/>
    </xf>
    <xf numFmtId="0" fontId="24" fillId="11" borderId="21" xfId="0" applyFont="1" applyFill="1" applyBorder="1" applyAlignment="1">
      <alignment horizontal="left" vertical="center" wrapText="1"/>
    </xf>
    <xf numFmtId="0" fontId="22" fillId="0" borderId="18" xfId="0" applyFont="1" applyBorder="1" applyAlignment="1">
      <alignment horizontal="left" vertical="top" wrapText="1"/>
    </xf>
    <xf numFmtId="0" fontId="22" fillId="0" borderId="21" xfId="0" applyFont="1" applyBorder="1" applyAlignment="1">
      <alignment horizontal="left" vertical="top" wrapText="1"/>
    </xf>
    <xf numFmtId="167" fontId="25" fillId="11" borderId="18" xfId="0" applyNumberFormat="1" applyFont="1" applyFill="1" applyBorder="1" applyAlignment="1">
      <alignment horizontal="center" vertical="center" wrapText="1"/>
    </xf>
    <xf numFmtId="0" fontId="22" fillId="0" borderId="44" xfId="0" applyFont="1" applyBorder="1" applyAlignment="1">
      <alignment horizontal="left" vertical="center" wrapText="1"/>
    </xf>
    <xf numFmtId="0" fontId="22" fillId="0" borderId="6" xfId="0" applyFont="1" applyBorder="1" applyAlignment="1">
      <alignment horizontal="left" vertical="center" wrapText="1"/>
    </xf>
    <xf numFmtId="0" fontId="32" fillId="0" borderId="0" xfId="0" applyFont="1" applyAlignment="1">
      <alignment horizontal="center" vertical="center"/>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43" fontId="0" fillId="0" borderId="25" xfId="3" applyFont="1" applyBorder="1" applyAlignment="1">
      <alignment horizontal="center" vertical="center" wrapText="1"/>
    </xf>
    <xf numFmtId="43" fontId="0" fillId="0" borderId="0" xfId="3" applyFont="1" applyBorder="1" applyAlignment="1">
      <alignment horizontal="center" vertical="center" wrapText="1"/>
    </xf>
    <xf numFmtId="0" fontId="21" fillId="0" borderId="0" xfId="0" applyFont="1" applyAlignment="1">
      <alignment horizontal="center" vertic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2" fillId="0" borderId="8" xfId="0" applyFont="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5" fontId="2" fillId="5" borderId="108" xfId="0" applyNumberFormat="1" applyFont="1" applyFill="1" applyBorder="1" applyAlignment="1">
      <alignment horizontal="center" vertical="center" wrapText="1"/>
    </xf>
    <xf numFmtId="5" fontId="2" fillId="5" borderId="59" xfId="0" applyNumberFormat="1" applyFont="1" applyFill="1" applyBorder="1" applyAlignment="1">
      <alignment horizontal="center" vertical="center" wrapText="1"/>
    </xf>
    <xf numFmtId="5" fontId="2" fillId="5" borderId="60" xfId="0" applyNumberFormat="1" applyFont="1" applyFill="1" applyBorder="1" applyAlignment="1">
      <alignment horizontal="center" vertical="center" wrapText="1"/>
    </xf>
    <xf numFmtId="5" fontId="2" fillId="5" borderId="25" xfId="0" applyNumberFormat="1" applyFont="1" applyFill="1" applyBorder="1" applyAlignment="1">
      <alignment horizontal="center" vertical="center" wrapText="1"/>
    </xf>
    <xf numFmtId="5" fontId="2" fillId="5" borderId="0" xfId="0" applyNumberFormat="1" applyFont="1" applyFill="1" applyBorder="1" applyAlignment="1">
      <alignment horizontal="center" vertical="center" wrapText="1"/>
    </xf>
    <xf numFmtId="5" fontId="2" fillId="5" borderId="46" xfId="0" applyNumberFormat="1" applyFont="1" applyFill="1" applyBorder="1" applyAlignment="1">
      <alignment horizontal="center" vertical="center" wrapText="1"/>
    </xf>
    <xf numFmtId="5" fontId="2" fillId="5" borderId="109" xfId="0" applyNumberFormat="1" applyFont="1" applyFill="1" applyBorder="1" applyAlignment="1">
      <alignment horizontal="center" vertical="center" wrapText="1"/>
    </xf>
    <xf numFmtId="5" fontId="2" fillId="5" borderId="53" xfId="0" applyNumberFormat="1" applyFont="1" applyFill="1" applyBorder="1" applyAlignment="1">
      <alignment horizontal="center" vertical="center" wrapText="1"/>
    </xf>
    <xf numFmtId="5" fontId="2" fillId="5" borderId="54" xfId="0" applyNumberFormat="1" applyFont="1" applyFill="1" applyBorder="1" applyAlignment="1">
      <alignment horizontal="center" vertic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43" fontId="0" fillId="0" borderId="25" xfId="3" applyFont="1" applyBorder="1" applyAlignment="1">
      <alignment horizontal="center" wrapText="1"/>
    </xf>
    <xf numFmtId="43" fontId="0" fillId="0" borderId="0" xfId="3" applyFont="1" applyBorder="1" applyAlignment="1">
      <alignment horizont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5" xfId="0" applyFill="1" applyBorder="1" applyAlignment="1">
      <alignment horizontal="center" vertical="center" wrapText="1"/>
    </xf>
    <xf numFmtId="0" fontId="2" fillId="5" borderId="108" xfId="0" applyFont="1" applyFill="1" applyBorder="1" applyAlignment="1">
      <alignment horizontal="center" vertical="center" wrapText="1"/>
    </xf>
    <xf numFmtId="0" fontId="2" fillId="5" borderId="59" xfId="0" applyFont="1" applyFill="1" applyBorder="1" applyAlignment="1">
      <alignment horizontal="center" vertical="center" wrapText="1"/>
    </xf>
    <xf numFmtId="0" fontId="2" fillId="5" borderId="60"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46" xfId="0" applyFont="1" applyFill="1" applyBorder="1" applyAlignment="1">
      <alignment horizontal="center" vertical="center" wrapText="1"/>
    </xf>
    <xf numFmtId="0" fontId="2" fillId="5" borderId="109"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 fillId="5" borderId="54"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4" fillId="11" borderId="79" xfId="0" applyFont="1" applyFill="1" applyBorder="1" applyAlignment="1">
      <alignment horizontal="left" vertical="center"/>
    </xf>
    <xf numFmtId="0" fontId="24" fillId="11" borderId="80" xfId="0" applyFont="1" applyFill="1" applyBorder="1" applyAlignment="1">
      <alignment horizontal="left" vertical="center"/>
    </xf>
    <xf numFmtId="0" fontId="24" fillId="11" borderId="81" xfId="0" applyFont="1" applyFill="1" applyBorder="1" applyAlignment="1">
      <alignment horizontal="left" vertical="center"/>
    </xf>
    <xf numFmtId="43" fontId="22" fillId="0" borderId="18" xfId="3" applyFont="1" applyFill="1" applyBorder="1" applyAlignment="1">
      <alignment horizontal="left" vertical="center" wrapText="1"/>
    </xf>
    <xf numFmtId="43" fontId="22" fillId="0" borderId="19" xfId="3"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5" fillId="0" borderId="0" xfId="0" applyFont="1" applyBorder="1" applyAlignment="1">
      <alignment horizontal="center" vertical="center" textRotation="90" wrapText="1"/>
    </xf>
    <xf numFmtId="0" fontId="22" fillId="0" borderId="0" xfId="0" applyFont="1" applyBorder="1" applyAlignment="1">
      <alignment horizontal="left" vertical="center" wrapText="1"/>
    </xf>
    <xf numFmtId="0" fontId="22" fillId="0" borderId="24"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80" xfId="0" applyFont="1" applyFill="1" applyBorder="1" applyAlignment="1">
      <alignment horizontal="left" vertical="center" wrapText="1"/>
    </xf>
    <xf numFmtId="0" fontId="22" fillId="0" borderId="81" xfId="0" applyFont="1" applyFill="1" applyBorder="1" applyAlignment="1">
      <alignment horizontal="left" vertical="center" wrapText="1"/>
    </xf>
    <xf numFmtId="0" fontId="25" fillId="11" borderId="80" xfId="0" applyFont="1" applyFill="1" applyBorder="1" applyAlignment="1">
      <alignment horizontal="center" vertical="center"/>
    </xf>
    <xf numFmtId="0" fontId="25" fillId="11" borderId="81" xfId="0" applyFont="1" applyFill="1" applyBorder="1" applyAlignment="1">
      <alignment horizontal="center"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0" fontId="2" fillId="0" borderId="10" xfId="0" applyFont="1" applyBorder="1" applyAlignment="1">
      <alignment horizontal="center" vertical="center" wrapText="1"/>
    </xf>
    <xf numFmtId="43" fontId="0" fillId="0" borderId="25" xfId="3" applyFont="1" applyBorder="1" applyAlignment="1">
      <alignment wrapText="1"/>
    </xf>
    <xf numFmtId="43" fontId="0" fillId="0" borderId="0" xfId="3" applyFont="1" applyBorder="1" applyAlignment="1">
      <alignment wrapText="1"/>
    </xf>
    <xf numFmtId="0" fontId="2" fillId="0" borderId="0" xfId="0" applyFont="1" applyAlignment="1">
      <alignment vertical="center"/>
    </xf>
    <xf numFmtId="0" fontId="5" fillId="0" borderId="0" xfId="0" applyFont="1" applyAlignment="1">
      <alignment vertical="center"/>
    </xf>
    <xf numFmtId="0" fontId="0" fillId="0" borderId="21" xfId="0" applyBorder="1" applyAlignment="1">
      <alignment vertical="center"/>
    </xf>
    <xf numFmtId="0" fontId="2" fillId="0" borderId="0" xfId="0" applyFont="1" applyAlignment="1">
      <alignment horizontal="center" vertical="center"/>
    </xf>
    <xf numFmtId="5" fontId="0" fillId="12" borderId="28" xfId="0" applyNumberFormat="1" applyFill="1" applyBorder="1" applyAlignment="1">
      <alignment vertical="center"/>
    </xf>
    <xf numFmtId="5" fontId="15" fillId="12" borderId="31" xfId="0" applyNumberFormat="1" applyFont="1" applyFill="1" applyBorder="1" applyAlignment="1">
      <alignment vertical="center"/>
    </xf>
    <xf numFmtId="9" fontId="15" fillId="12" borderId="29" xfId="2" applyNumberFormat="1" applyFont="1" applyFill="1" applyBorder="1" applyAlignment="1">
      <alignment vertical="center"/>
    </xf>
    <xf numFmtId="5" fontId="13" fillId="12" borderId="28" xfId="1" applyNumberFormat="1" applyFont="1" applyFill="1" applyBorder="1" applyAlignment="1">
      <alignment horizontal="right" vertical="center"/>
    </xf>
    <xf numFmtId="165" fontId="15" fillId="12" borderId="28" xfId="0" applyNumberFormat="1" applyFont="1" applyFill="1" applyBorder="1" applyAlignment="1">
      <alignment vertical="center"/>
    </xf>
    <xf numFmtId="5" fontId="15" fillId="12" borderId="28" xfId="0" applyNumberFormat="1" applyFont="1" applyFill="1" applyBorder="1" applyAlignment="1">
      <alignment vertical="center"/>
    </xf>
    <xf numFmtId="165" fontId="2" fillId="0" borderId="0" xfId="2" applyNumberFormat="1" applyFont="1" applyAlignment="1">
      <alignment horizontal="right" vertical="center"/>
    </xf>
    <xf numFmtId="165" fontId="4" fillId="0" borderId="0" xfId="2" applyNumberFormat="1" applyFont="1" applyFill="1" applyAlignment="1">
      <alignment vertical="center"/>
    </xf>
    <xf numFmtId="5" fontId="15"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164" fontId="8" fillId="0" borderId="0" xfId="1" applyNumberFormat="1" applyFont="1" applyFill="1" applyAlignment="1">
      <alignment horizontal="left" vertical="center" wrapText="1"/>
    </xf>
    <xf numFmtId="164" fontId="8" fillId="0" borderId="32" xfId="1" applyNumberFormat="1" applyFont="1" applyFill="1" applyBorder="1" applyAlignment="1">
      <alignment horizontal="left" vertical="center" wrapText="1"/>
    </xf>
    <xf numFmtId="7" fontId="7" fillId="0" borderId="0" xfId="1" applyNumberFormat="1" applyFont="1" applyBorder="1" applyAlignment="1">
      <alignment horizontal="center" vertical="center"/>
    </xf>
    <xf numFmtId="165" fontId="15" fillId="0" borderId="0" xfId="2" applyNumberFormat="1" applyFont="1" applyBorder="1" applyAlignment="1">
      <alignment horizontal="center" vertical="center"/>
    </xf>
    <xf numFmtId="164" fontId="2" fillId="0" borderId="0" xfId="1" applyNumberFormat="1" applyFont="1" applyFill="1" applyBorder="1" applyAlignment="1">
      <alignment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99FFCC"/>
      <color rgb="FFFF99FF"/>
      <color rgb="FF0000FF"/>
      <color rgb="FFFFFFCC"/>
      <color rgb="FFCCCC00"/>
      <color rgb="FFFFCC66"/>
      <color rgb="FFFFFF99"/>
      <color rgb="FFCCFFCC"/>
      <color rgb="FFF8F8F8"/>
      <color rgb="FF8080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3753"/>
          <c:h val="0.79804560260588453"/>
        </c:manualLayout>
      </c:layout>
      <c:pieChart>
        <c:varyColors val="1"/>
        <c:ser>
          <c:idx val="0"/>
          <c:order val="0"/>
          <c:dLbls>
            <c:dLblPos val="ctr"/>
            <c:showVal val="1"/>
            <c:showLeaderLines val="1"/>
          </c:dLbls>
          <c:cat>
            <c:multiLvlStrRef>
              <c:f>'New Year-Full Year'!$AD$4:$AG$4</c:f>
            </c:multiLvlStrRef>
          </c:cat>
          <c:val>
            <c:numRef>
              <c:f>'New Year-Full Year'!$AD$201:$AG$201</c:f>
            </c:numRef>
          </c:val>
        </c:ser>
        <c:firstSliceAng val="0"/>
      </c:pieChart>
    </c:plotArea>
    <c:legend>
      <c:legendPos val="r"/>
    </c:legend>
    <c:plotVisOnly val="1"/>
  </c:chart>
  <c:printSettings>
    <c:headerFooter/>
    <c:pageMargins b="0.75000000000000855" l="0.70000000000000062" r="0.70000000000000062" t="0.750000000000008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3709"/>
          <c:h val="0.79804560260588586"/>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tabColor theme="7" tint="-0.499984740745262"/>
  </sheetPr>
  <sheetViews>
    <sheetView zoomScale="66" workbookViewId="0" zoomToFit="1"/>
  </sheetViews>
  <pageMargins left="0.7" right="0.7" top="0.75" bottom="0.75" header="0.3" footer="0.3"/>
  <pageSetup orientation="landscape" horizontalDpi="4294967293"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203</xdr:row>
      <xdr:rowOff>6350</xdr:rowOff>
    </xdr:from>
    <xdr:to>
      <xdr:col>34</xdr:col>
      <xdr:colOff>82550</xdr:colOff>
      <xdr:row>224</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1" customWidth="1"/>
    <col min="2" max="16384" width="9.08984375" style="41"/>
  </cols>
  <sheetData>
    <row r="2" spans="1:3">
      <c r="A2" s="41" t="s">
        <v>161</v>
      </c>
      <c r="C2" s="42">
        <v>2022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B2:G17"/>
  <sheetViews>
    <sheetView workbookViewId="0">
      <selection activeCell="D16" sqref="D16"/>
    </sheetView>
  </sheetViews>
  <sheetFormatPr defaultRowHeight="14.5"/>
  <cols>
    <col min="2" max="2" width="23.08984375" customWidth="1"/>
    <col min="3" max="5" width="11.54296875" customWidth="1"/>
    <col min="6" max="6" width="18.08984375" customWidth="1"/>
    <col min="7" max="7" width="12.6328125" customWidth="1"/>
  </cols>
  <sheetData>
    <row r="2" spans="2:7">
      <c r="B2" t="s">
        <v>363</v>
      </c>
    </row>
    <row r="3" spans="2:7" ht="58">
      <c r="C3" s="581" t="s">
        <v>373</v>
      </c>
      <c r="D3" s="581" t="s">
        <v>374</v>
      </c>
      <c r="E3" s="581"/>
      <c r="F3" s="582" t="s">
        <v>372</v>
      </c>
      <c r="G3" s="581" t="s">
        <v>370</v>
      </c>
    </row>
    <row r="4" spans="2:7">
      <c r="B4">
        <v>2018</v>
      </c>
      <c r="C4" s="583">
        <f>52894+15868</f>
        <v>68762</v>
      </c>
      <c r="D4" s="583">
        <f>52894+15868</f>
        <v>68762</v>
      </c>
      <c r="E4" s="583" t="s">
        <v>366</v>
      </c>
      <c r="F4" s="587">
        <f>52894+15868</f>
        <v>68762</v>
      </c>
      <c r="G4" s="584">
        <f>+F4-D4</f>
        <v>0</v>
      </c>
    </row>
    <row r="6" spans="2:7">
      <c r="B6" t="s">
        <v>364</v>
      </c>
      <c r="C6" s="584">
        <f>+ROUND(C4*(1+0.02),2)</f>
        <v>70137.240000000005</v>
      </c>
      <c r="D6" s="586">
        <v>71240</v>
      </c>
      <c r="E6" s="586" t="s">
        <v>367</v>
      </c>
      <c r="F6" s="587">
        <v>70137</v>
      </c>
      <c r="G6" s="584">
        <f>+F6-D6</f>
        <v>-1103</v>
      </c>
    </row>
    <row r="7" spans="2:7">
      <c r="C7" s="585">
        <f>(+C6-C4)/C4</f>
        <v>2.0000000000000077E-2</v>
      </c>
      <c r="D7" s="585">
        <f>(+D6-D4)/D4</f>
        <v>3.6037346208661759E-2</v>
      </c>
      <c r="E7" s="585"/>
    </row>
    <row r="8" spans="2:7">
      <c r="C8" s="585"/>
      <c r="D8" s="585"/>
      <c r="E8" s="585"/>
    </row>
    <row r="9" spans="2:7">
      <c r="B9" t="s">
        <v>365</v>
      </c>
      <c r="C9" s="584">
        <f>+ROUND(C6*(1+0.02),2)</f>
        <v>71539.98</v>
      </c>
      <c r="D9" s="586">
        <v>73783</v>
      </c>
      <c r="E9" s="586" t="s">
        <v>368</v>
      </c>
      <c r="F9" s="587">
        <v>71540</v>
      </c>
      <c r="G9" s="584">
        <f>+F9-D9</f>
        <v>-2243</v>
      </c>
    </row>
    <row r="10" spans="2:7">
      <c r="C10" s="585">
        <f>(+C9-C6)/C6</f>
        <v>1.9999931562747417E-2</v>
      </c>
      <c r="D10" s="585">
        <f>(+D9-D6)/D6</f>
        <v>3.5696238068500842E-2</v>
      </c>
      <c r="E10" s="585"/>
    </row>
    <row r="11" spans="2:7">
      <c r="C11" s="584"/>
      <c r="D11" s="584"/>
      <c r="E11" s="584"/>
    </row>
    <row r="12" spans="2:7">
      <c r="B12" t="s">
        <v>371</v>
      </c>
      <c r="C12" s="584">
        <f>+ROUND(C9*(1+0.01),2)</f>
        <v>72255.38</v>
      </c>
      <c r="D12" s="586">
        <v>75618</v>
      </c>
      <c r="E12" s="586" t="s">
        <v>369</v>
      </c>
      <c r="F12" s="588">
        <f>+F9*(1+0.01)</f>
        <v>72255.399999999994</v>
      </c>
      <c r="G12" s="588">
        <f>+D12-F9</f>
        <v>4078</v>
      </c>
    </row>
    <row r="13" spans="2:7">
      <c r="C13" s="585">
        <f>(+C12-C9)/C9</f>
        <v>1.0000002795639708E-2</v>
      </c>
      <c r="D13" s="585">
        <f>(+D12-D9)/D9</f>
        <v>2.4870227559193853E-2</v>
      </c>
      <c r="E13" s="585"/>
      <c r="F13" s="585">
        <f>(+F12-F9)/F9</f>
        <v>9.9999999999999187E-3</v>
      </c>
      <c r="G13" s="585">
        <f>+G12/F9</f>
        <v>5.7003075202683814E-2</v>
      </c>
    </row>
    <row r="16" spans="2:7">
      <c r="D16" s="584"/>
      <c r="F16" s="589">
        <f>2000/F9</f>
        <v>2.7956388034665922E-2</v>
      </c>
    </row>
    <row r="17" spans="4:4">
      <c r="D17" s="584"/>
    </row>
  </sheetData>
  <pageMargins left="0.7" right="0.7" top="0.75" bottom="0.75" header="0.3" footer="0.3"/>
  <pageSetup orientation="landscape" horizontalDpi="0" verticalDpi="0" r:id="rId1"/>
</worksheet>
</file>

<file path=xl/worksheets/sheet11.xml><?xml version="1.0" encoding="utf-8"?>
<worksheet xmlns="http://schemas.openxmlformats.org/spreadsheetml/2006/main" xmlns:r="http://schemas.openxmlformats.org/officeDocument/2006/relationships">
  <sheetPr>
    <pageSetUpPr fitToPage="1"/>
  </sheetPr>
  <dimension ref="A1:S68"/>
  <sheetViews>
    <sheetView showGridLines="0" topLeftCell="A38" workbookViewId="0">
      <selection activeCell="B61" sqref="B61"/>
    </sheetView>
  </sheetViews>
  <sheetFormatPr defaultRowHeight="14.5"/>
  <cols>
    <col min="1" max="1" width="10" style="140" customWidth="1"/>
    <col min="2" max="2" width="38.453125" style="140" customWidth="1"/>
    <col min="3" max="3" width="13.90625" style="204" hidden="1" customWidth="1"/>
    <col min="4" max="4" width="13.90625" style="140" hidden="1" customWidth="1"/>
    <col min="5" max="5" width="13.90625" style="140" customWidth="1"/>
    <col min="6" max="6" width="0" style="140" hidden="1" customWidth="1"/>
    <col min="7" max="7" width="9.81640625" style="140" hidden="1" customWidth="1"/>
    <col min="8" max="8" width="11.90625" style="140" hidden="1" customWidth="1"/>
    <col min="9" max="10" width="13.90625" style="140" customWidth="1"/>
    <col min="11" max="11" width="10.453125" style="140" bestFit="1" customWidth="1"/>
    <col min="12" max="12" width="11.453125" style="140" customWidth="1"/>
    <col min="13" max="16384" width="8.7265625" style="140"/>
  </cols>
  <sheetData>
    <row r="1" spans="1:19" ht="21">
      <c r="A1" s="933" t="s">
        <v>362</v>
      </c>
      <c r="B1" s="933"/>
      <c r="C1" s="933"/>
      <c r="D1" s="933"/>
      <c r="E1" s="933"/>
      <c r="F1" s="933"/>
      <c r="G1" s="933"/>
      <c r="H1" s="933"/>
      <c r="I1" s="933"/>
      <c r="J1" s="933"/>
      <c r="K1" s="933"/>
      <c r="L1" s="933"/>
      <c r="M1" s="933"/>
    </row>
    <row r="2" spans="1:19" s="824" customFormat="1" ht="10" customHeight="1">
      <c r="B2" s="825"/>
      <c r="C2" s="826"/>
      <c r="D2" s="826"/>
      <c r="E2" s="827"/>
      <c r="I2" s="826"/>
      <c r="J2" s="826"/>
    </row>
    <row r="3" spans="1:19" ht="29.5" customHeight="1">
      <c r="C3" s="442" t="s">
        <v>356</v>
      </c>
      <c r="D3" s="415" t="s">
        <v>287</v>
      </c>
      <c r="E3" s="636" t="s">
        <v>487</v>
      </c>
      <c r="G3" s="799"/>
      <c r="H3" s="800"/>
      <c r="I3" s="223" t="s">
        <v>481</v>
      </c>
      <c r="J3" s="840" t="s">
        <v>375</v>
      </c>
      <c r="K3" s="940" t="str">
        <f>"To Buy Back one week of vacation is $"&amp;ROUND(+J11/52,0)&amp;" per week"</f>
        <v>To Buy Back one week of vacation is $1291 per week</v>
      </c>
      <c r="L3" s="941"/>
      <c r="M3" s="941"/>
    </row>
    <row r="4" spans="1:19" ht="14.5" customHeight="1">
      <c r="A4" s="956" t="s">
        <v>359</v>
      </c>
      <c r="B4" s="449" t="s">
        <v>42</v>
      </c>
      <c r="C4" s="443">
        <f>+C6-C5</f>
        <v>40802</v>
      </c>
      <c r="D4" s="443">
        <f>+D6-D5</f>
        <v>40802</v>
      </c>
      <c r="E4" s="174">
        <f>+E6-E5</f>
        <v>42687</v>
      </c>
      <c r="F4" s="951" t="s">
        <v>488</v>
      </c>
      <c r="G4" s="952"/>
      <c r="H4" s="953"/>
      <c r="I4" s="414">
        <f>+I11-I5</f>
        <v>44553</v>
      </c>
      <c r="J4" s="1035">
        <f>+J6-J5</f>
        <v>47135</v>
      </c>
      <c r="K4" s="954" t="str">
        <f>"9 years of Experience for 2022 plus a COLA 5% per ELCA quidelines = "&amp;ROUND((+I6-E6)/E6,3)*100&amp;"% increase."</f>
        <v>9 years of Experience for 2022 plus a COLA 5% per ELCA quidelines = -100% increase.</v>
      </c>
      <c r="L4" s="955"/>
      <c r="M4" s="955"/>
    </row>
    <row r="5" spans="1:19" ht="15" thickBot="1">
      <c r="A5" s="957"/>
      <c r="B5" s="172" t="s">
        <v>166</v>
      </c>
      <c r="C5" s="179">
        <f>ROUND(+C6*0.3,0)</f>
        <v>17487</v>
      </c>
      <c r="D5" s="179">
        <f>ROUND(+D6*0.3,0)</f>
        <v>17487</v>
      </c>
      <c r="E5" s="446">
        <v>20000</v>
      </c>
      <c r="F5" s="951"/>
      <c r="G5" s="952"/>
      <c r="H5" s="953"/>
      <c r="I5" s="427">
        <v>20000</v>
      </c>
      <c r="J5" s="1036">
        <v>20000</v>
      </c>
      <c r="K5" s="954"/>
      <c r="L5" s="955"/>
      <c r="M5" s="955"/>
    </row>
    <row r="6" spans="1:19" ht="14.5" hidden="1" customHeight="1">
      <c r="A6" s="957"/>
      <c r="B6" s="172" t="s">
        <v>167</v>
      </c>
      <c r="C6" s="444">
        <v>58289</v>
      </c>
      <c r="D6" s="444">
        <v>58289</v>
      </c>
      <c r="E6" s="183">
        <f>+ROUND((62066*1.01),0)</f>
        <v>62687</v>
      </c>
      <c r="F6" s="951"/>
      <c r="G6" s="952"/>
      <c r="H6" s="953"/>
      <c r="I6" s="413"/>
      <c r="J6" s="632">
        <v>67135</v>
      </c>
      <c r="K6" s="954"/>
      <c r="L6" s="955"/>
      <c r="M6" s="955"/>
    </row>
    <row r="7" spans="1:19" ht="5.5" hidden="1" customHeight="1">
      <c r="A7" s="957"/>
      <c r="B7" s="184"/>
      <c r="C7" s="177"/>
      <c r="D7" s="177"/>
      <c r="E7" s="177"/>
      <c r="F7" s="951"/>
      <c r="G7" s="952"/>
      <c r="H7" s="953"/>
      <c r="I7" s="144"/>
      <c r="J7" s="594"/>
      <c r="K7" s="954"/>
      <c r="L7" s="955"/>
      <c r="M7" s="955"/>
      <c r="N7" s="185"/>
      <c r="O7" s="185"/>
      <c r="P7" s="185"/>
      <c r="Q7" s="185"/>
      <c r="R7" s="185"/>
      <c r="S7" s="185"/>
    </row>
    <row r="8" spans="1:19" ht="14.5" hidden="1" customHeight="1">
      <c r="A8" s="957"/>
      <c r="B8" s="172" t="s">
        <v>178</v>
      </c>
      <c r="C8" s="445">
        <v>1</v>
      </c>
      <c r="D8" s="445">
        <v>0.5</v>
      </c>
      <c r="E8" s="445">
        <v>1</v>
      </c>
      <c r="F8" s="951"/>
      <c r="G8" s="952"/>
      <c r="H8" s="953"/>
      <c r="I8" s="411">
        <v>1</v>
      </c>
      <c r="J8" s="1037">
        <v>1</v>
      </c>
      <c r="K8" s="954"/>
      <c r="L8" s="955"/>
      <c r="M8" s="955"/>
      <c r="N8" s="185"/>
      <c r="O8" s="185"/>
      <c r="P8" s="185"/>
      <c r="Q8" s="185"/>
      <c r="R8" s="185"/>
      <c r="S8" s="185"/>
    </row>
    <row r="9" spans="1:19" ht="14.5" hidden="1" customHeight="1">
      <c r="A9" s="957"/>
      <c r="B9" s="184"/>
      <c r="C9" s="177"/>
      <c r="D9" s="177"/>
      <c r="E9" s="177"/>
      <c r="F9" s="951"/>
      <c r="G9" s="952"/>
      <c r="H9" s="953"/>
      <c r="I9" s="144"/>
      <c r="J9" s="594"/>
      <c r="K9" s="954"/>
      <c r="L9" s="955"/>
      <c r="M9" s="955"/>
      <c r="N9" s="185"/>
      <c r="O9" s="185"/>
      <c r="P9" s="185"/>
      <c r="Q9" s="185"/>
      <c r="R9" s="185"/>
      <c r="S9" s="185"/>
    </row>
    <row r="10" spans="1:19" ht="14.5" hidden="1" customHeight="1">
      <c r="A10" s="957"/>
      <c r="B10" s="172" t="s">
        <v>191</v>
      </c>
      <c r="C10" s="425">
        <v>0</v>
      </c>
      <c r="D10" s="425">
        <v>0</v>
      </c>
      <c r="E10" s="190">
        <v>0</v>
      </c>
      <c r="F10" s="951"/>
      <c r="G10" s="952"/>
      <c r="H10" s="953"/>
      <c r="I10" s="429">
        <v>0</v>
      </c>
      <c r="J10" s="626">
        <v>0</v>
      </c>
      <c r="K10" s="954"/>
      <c r="L10" s="955"/>
      <c r="M10" s="955"/>
      <c r="N10" s="185"/>
      <c r="O10" s="185"/>
      <c r="P10" s="185"/>
      <c r="Q10" s="185"/>
      <c r="R10" s="185"/>
      <c r="S10" s="185"/>
    </row>
    <row r="11" spans="1:19">
      <c r="A11" s="957"/>
      <c r="B11" s="191" t="s">
        <v>189</v>
      </c>
      <c r="C11" s="416">
        <f>ROUND(+C6*(1+C10)*C8,0)</f>
        <v>58289</v>
      </c>
      <c r="D11" s="416">
        <f>ROUND(+D6*(1+D10)*D8,0)</f>
        <v>29145</v>
      </c>
      <c r="E11" s="574">
        <f>ROUND(+E6*(1+E10)*E8,0)</f>
        <v>62687</v>
      </c>
      <c r="F11" s="951"/>
      <c r="G11" s="952"/>
      <c r="H11" s="953"/>
      <c r="I11" s="148">
        <f>ROUND((+J6*(1+I10)*I8)-((J6/52)*2),0)</f>
        <v>64553</v>
      </c>
      <c r="J11" s="601">
        <f>ROUND((+J6*(1+J10)*J8),0)</f>
        <v>67135</v>
      </c>
      <c r="K11" s="954"/>
      <c r="L11" s="955"/>
      <c r="M11" s="955"/>
      <c r="N11" s="126"/>
      <c r="O11" s="213"/>
      <c r="P11" s="185"/>
      <c r="Q11" s="185"/>
      <c r="R11" s="185"/>
      <c r="S11" s="185"/>
    </row>
    <row r="12" spans="1:19" ht="10" customHeight="1" thickBot="1">
      <c r="A12" s="957"/>
      <c r="B12" s="959" t="s">
        <v>358</v>
      </c>
      <c r="C12" s="177"/>
      <c r="D12" s="177"/>
      <c r="E12" s="177"/>
      <c r="I12" s="144"/>
      <c r="J12" s="594"/>
      <c r="L12" s="185"/>
      <c r="M12" s="185"/>
      <c r="N12" s="126"/>
      <c r="O12" s="185"/>
      <c r="P12" s="185"/>
      <c r="Q12" s="185"/>
      <c r="R12" s="185"/>
      <c r="S12" s="185"/>
    </row>
    <row r="13" spans="1:19" ht="15" thickTop="1">
      <c r="A13" s="957"/>
      <c r="B13" s="959"/>
      <c r="C13" s="196">
        <f>+C28</f>
        <v>0</v>
      </c>
      <c r="D13" s="196">
        <f>+D28</f>
        <v>0</v>
      </c>
      <c r="E13" s="196">
        <f>+E28</f>
        <v>2400</v>
      </c>
      <c r="I13" s="139">
        <f>+I28</f>
        <v>2400</v>
      </c>
      <c r="J13" s="602">
        <f>+J28</f>
        <v>2400</v>
      </c>
      <c r="K13" s="960" t="s">
        <v>544</v>
      </c>
      <c r="L13" s="961"/>
      <c r="M13" s="962"/>
      <c r="N13" s="127"/>
      <c r="O13" s="185"/>
      <c r="P13" s="185"/>
      <c r="Q13" s="185"/>
      <c r="R13" s="185"/>
      <c r="S13" s="185"/>
    </row>
    <row r="14" spans="1:19" ht="8.5" customHeight="1">
      <c r="A14" s="957"/>
      <c r="B14" s="959"/>
      <c r="C14" s="177"/>
      <c r="D14" s="177"/>
      <c r="E14" s="177"/>
      <c r="I14" s="144"/>
      <c r="J14" s="594"/>
      <c r="K14" s="963"/>
      <c r="L14" s="964"/>
      <c r="M14" s="965"/>
      <c r="N14" s="573"/>
      <c r="O14" s="185"/>
      <c r="P14" s="185"/>
      <c r="Q14" s="185"/>
      <c r="R14" s="185"/>
      <c r="S14" s="185"/>
    </row>
    <row r="15" spans="1:19" ht="15" thickBot="1">
      <c r="A15" s="957"/>
      <c r="B15" s="191" t="s">
        <v>189</v>
      </c>
      <c r="C15" s="416">
        <f>+C11+C13</f>
        <v>58289</v>
      </c>
      <c r="D15" s="416">
        <f>+D11+D13</f>
        <v>29145</v>
      </c>
      <c r="E15" s="574">
        <f>+E11+E13</f>
        <v>65087</v>
      </c>
      <c r="I15" s="148">
        <f>+I11+I13</f>
        <v>66953</v>
      </c>
      <c r="J15" s="601">
        <f>+J11+J13</f>
        <v>69535</v>
      </c>
      <c r="K15" s="966"/>
      <c r="L15" s="967"/>
      <c r="M15" s="968"/>
      <c r="N15" s="208"/>
      <c r="O15" s="185"/>
      <c r="P15" s="185"/>
      <c r="Q15" s="185"/>
      <c r="R15" s="185"/>
      <c r="S15" s="185"/>
    </row>
    <row r="16" spans="1:19" ht="6.5" customHeight="1" thickTop="1">
      <c r="A16" s="957"/>
      <c r="B16" s="184"/>
      <c r="C16" s="177"/>
      <c r="D16" s="177"/>
      <c r="E16" s="177"/>
      <c r="I16" s="144"/>
      <c r="J16" s="594"/>
      <c r="K16" s="185"/>
      <c r="L16" s="185"/>
      <c r="M16" s="185"/>
      <c r="N16" s="185"/>
      <c r="O16" s="185"/>
      <c r="P16" s="185"/>
      <c r="Q16" s="185"/>
      <c r="R16" s="185"/>
      <c r="S16" s="185"/>
    </row>
    <row r="17" spans="1:19">
      <c r="A17" s="957"/>
      <c r="B17" s="184" t="s">
        <v>577</v>
      </c>
      <c r="C17" s="198">
        <v>7.6499999999999999E-2</v>
      </c>
      <c r="D17" s="198">
        <v>7.6499999999999999E-2</v>
      </c>
      <c r="E17" s="455">
        <v>7.6499999999999999E-2</v>
      </c>
      <c r="F17" s="972" t="s">
        <v>361</v>
      </c>
      <c r="G17" s="973"/>
      <c r="H17" s="974"/>
      <c r="I17" s="642">
        <v>7.6499999999999999E-2</v>
      </c>
      <c r="J17" s="609">
        <v>7.6499999999999999E-2</v>
      </c>
      <c r="K17" s="185"/>
      <c r="L17" s="185"/>
      <c r="M17" s="185"/>
      <c r="N17" s="126"/>
      <c r="O17" s="185"/>
      <c r="P17" s="185"/>
      <c r="Q17" s="185"/>
      <c r="R17" s="185"/>
      <c r="S17" s="185"/>
    </row>
    <row r="18" spans="1:19" ht="14.5" hidden="1" customHeight="1">
      <c r="A18" s="957"/>
      <c r="B18" s="184"/>
      <c r="C18" s="177"/>
      <c r="D18" s="177"/>
      <c r="E18" s="177"/>
      <c r="I18" s="144"/>
      <c r="J18" s="594"/>
      <c r="K18" s="229"/>
      <c r="L18" s="215"/>
      <c r="M18" s="185"/>
      <c r="N18" s="208"/>
      <c r="O18" s="185"/>
      <c r="P18" s="185"/>
      <c r="Q18" s="185"/>
      <c r="R18" s="185"/>
      <c r="S18" s="185"/>
    </row>
    <row r="19" spans="1:19">
      <c r="A19" s="957"/>
      <c r="B19" s="184" t="s">
        <v>304</v>
      </c>
      <c r="C19" s="196">
        <f>ROUND(+C15*C17,0)</f>
        <v>4459</v>
      </c>
      <c r="D19" s="196">
        <f>ROUND(+D15*D17,0)</f>
        <v>2230</v>
      </c>
      <c r="E19" s="196">
        <f>ROUND(+E15*E17,0)</f>
        <v>4979</v>
      </c>
      <c r="F19" s="147"/>
      <c r="I19" s="139">
        <f>ROUND(+I15*I17,0)</f>
        <v>5122</v>
      </c>
      <c r="J19" s="602">
        <f>ROUND(+J15*J17,0)</f>
        <v>5319</v>
      </c>
      <c r="K19" s="185"/>
      <c r="L19" s="157"/>
      <c r="M19" s="185"/>
      <c r="N19" s="185"/>
      <c r="O19" s="185"/>
      <c r="P19" s="185"/>
      <c r="Q19" s="185"/>
      <c r="R19" s="185"/>
      <c r="S19" s="185"/>
    </row>
    <row r="20" spans="1:19" ht="21" customHeight="1">
      <c r="A20" s="958"/>
      <c r="B20" s="199" t="s">
        <v>192</v>
      </c>
      <c r="C20" s="203">
        <f>+C15+C19</f>
        <v>62748</v>
      </c>
      <c r="D20" s="203">
        <f>+D15+D19</f>
        <v>31375</v>
      </c>
      <c r="E20" s="203">
        <f>+E15+E19</f>
        <v>70066</v>
      </c>
      <c r="I20" s="150">
        <f>+I15+I19</f>
        <v>72075</v>
      </c>
      <c r="J20" s="604">
        <f>+J15+J19</f>
        <v>74854</v>
      </c>
      <c r="L20" s="185"/>
      <c r="M20" s="185"/>
      <c r="N20" s="185"/>
      <c r="O20" s="185"/>
      <c r="P20" s="185"/>
      <c r="Q20" s="185"/>
      <c r="R20" s="185"/>
      <c r="S20" s="185"/>
    </row>
    <row r="21" spans="1:19" ht="8.5" customHeight="1">
      <c r="B21" s="204"/>
      <c r="D21" s="204"/>
      <c r="E21" s="204"/>
      <c r="I21" s="204"/>
      <c r="J21" s="204"/>
      <c r="K21" s="185"/>
      <c r="L21" s="185"/>
      <c r="M21" s="185"/>
      <c r="N21" s="185"/>
      <c r="O21" s="185"/>
      <c r="P21" s="185"/>
      <c r="Q21" s="185"/>
      <c r="R21" s="185"/>
      <c r="S21" s="185"/>
    </row>
    <row r="22" spans="1:19">
      <c r="A22" s="956" t="s">
        <v>195</v>
      </c>
      <c r="B22" s="170" t="s">
        <v>193</v>
      </c>
      <c r="C22" s="578">
        <f>ROUND(22025*C8,0)</f>
        <v>22025</v>
      </c>
      <c r="D22" s="578">
        <f>ROUND(C22*D$8,0)</f>
        <v>11013</v>
      </c>
      <c r="E22" s="579">
        <v>6000</v>
      </c>
      <c r="I22" s="795">
        <v>6000</v>
      </c>
      <c r="J22" s="1038">
        <v>6000</v>
      </c>
      <c r="K22" s="185"/>
      <c r="L22" s="185"/>
      <c r="M22" s="185"/>
      <c r="N22" s="185"/>
      <c r="O22" s="185"/>
      <c r="P22" s="185"/>
      <c r="Q22" s="185"/>
      <c r="R22" s="185"/>
      <c r="S22" s="185"/>
    </row>
    <row r="23" spans="1:19">
      <c r="A23" s="957"/>
      <c r="B23" s="184" t="s">
        <v>215</v>
      </c>
      <c r="C23" s="177"/>
      <c r="D23" s="134"/>
      <c r="E23" s="421">
        <v>0</v>
      </c>
      <c r="I23" s="641">
        <v>0</v>
      </c>
      <c r="J23" s="606">
        <v>0</v>
      </c>
      <c r="K23" s="185"/>
      <c r="L23" s="185"/>
      <c r="M23" s="185"/>
      <c r="N23" s="185"/>
      <c r="O23" s="185"/>
      <c r="P23" s="185"/>
      <c r="Q23" s="185"/>
      <c r="R23" s="185"/>
      <c r="S23" s="185"/>
    </row>
    <row r="24" spans="1:19">
      <c r="A24" s="957"/>
      <c r="B24" s="192" t="s">
        <v>195</v>
      </c>
      <c r="C24" s="177"/>
      <c r="D24" s="137"/>
      <c r="E24" s="422">
        <f>+E22+E23</f>
        <v>6000</v>
      </c>
      <c r="I24" s="643">
        <f>+I22+I23</f>
        <v>6000</v>
      </c>
      <c r="J24" s="611">
        <f>+J22+J23</f>
        <v>6000</v>
      </c>
      <c r="K24" s="185"/>
      <c r="L24" s="185"/>
      <c r="M24" s="185"/>
      <c r="N24" s="185"/>
      <c r="O24" s="185"/>
      <c r="P24" s="185"/>
      <c r="Q24" s="185"/>
      <c r="R24" s="185"/>
      <c r="S24" s="185"/>
    </row>
    <row r="25" spans="1:19" ht="6.5" customHeight="1">
      <c r="A25" s="957"/>
      <c r="B25" s="184"/>
      <c r="C25" s="177"/>
      <c r="D25" s="186"/>
      <c r="E25" s="177"/>
      <c r="I25" s="144"/>
      <c r="J25" s="594"/>
      <c r="K25" s="185"/>
      <c r="L25" s="185"/>
      <c r="M25" s="185"/>
      <c r="N25" s="185"/>
      <c r="O25" s="185"/>
      <c r="P25" s="185"/>
      <c r="Q25" s="185"/>
      <c r="R25" s="185"/>
      <c r="S25" s="185"/>
    </row>
    <row r="26" spans="1:19">
      <c r="A26" s="957"/>
      <c r="B26" s="184" t="s">
        <v>319</v>
      </c>
      <c r="C26" s="177"/>
      <c r="D26" s="134"/>
      <c r="E26" s="421">
        <v>1800</v>
      </c>
      <c r="I26" s="641">
        <v>1800</v>
      </c>
      <c r="J26" s="606">
        <v>1800</v>
      </c>
      <c r="K26" s="185"/>
      <c r="L26" s="185"/>
      <c r="M26" s="185"/>
      <c r="N26" s="185"/>
      <c r="O26" s="185"/>
      <c r="P26" s="185"/>
      <c r="Q26" s="185"/>
      <c r="R26" s="185"/>
      <c r="S26" s="185"/>
    </row>
    <row r="27" spans="1:19">
      <c r="A27" s="957"/>
      <c r="B27" s="184" t="s">
        <v>571</v>
      </c>
      <c r="C27" s="177"/>
      <c r="D27" s="792"/>
      <c r="E27" s="455">
        <v>0.25</v>
      </c>
      <c r="F27" s="147"/>
      <c r="I27" s="642">
        <v>0.25</v>
      </c>
      <c r="J27" s="609">
        <v>0.25</v>
      </c>
      <c r="K27" s="185"/>
      <c r="L27" s="185"/>
      <c r="M27" s="185"/>
      <c r="N27" s="185"/>
      <c r="O27" s="185"/>
      <c r="P27" s="185"/>
      <c r="Q27" s="185"/>
      <c r="R27" s="185"/>
      <c r="S27" s="185"/>
    </row>
    <row r="28" spans="1:19">
      <c r="A28" s="957"/>
      <c r="B28" s="192" t="s">
        <v>357</v>
      </c>
      <c r="C28" s="459">
        <v>0</v>
      </c>
      <c r="D28" s="458">
        <v>0</v>
      </c>
      <c r="E28" s="422">
        <f>ROUND(+E26/(1-E27),0)</f>
        <v>2400</v>
      </c>
      <c r="F28" s="147"/>
      <c r="I28" s="643">
        <f>ROUND(+I26/(1-I27),0)</f>
        <v>2400</v>
      </c>
      <c r="J28" s="611">
        <f>ROUND(+J26/(1-J27),0)</f>
        <v>2400</v>
      </c>
      <c r="K28" s="185"/>
      <c r="L28" s="185"/>
      <c r="M28" s="185"/>
      <c r="N28" s="185"/>
      <c r="O28" s="185"/>
      <c r="P28" s="185"/>
      <c r="Q28" s="185"/>
      <c r="R28" s="185"/>
      <c r="S28" s="185"/>
    </row>
    <row r="29" spans="1:19">
      <c r="A29" s="958"/>
      <c r="B29" s="199" t="s">
        <v>196</v>
      </c>
      <c r="C29" s="575">
        <v>0</v>
      </c>
      <c r="D29" s="793">
        <v>0</v>
      </c>
      <c r="E29" s="203">
        <f>+E24-E26</f>
        <v>4200</v>
      </c>
      <c r="I29" s="150">
        <f>+I24-I26</f>
        <v>4200</v>
      </c>
      <c r="J29" s="604">
        <f>+J24-J26</f>
        <v>4200</v>
      </c>
      <c r="K29" s="185"/>
      <c r="L29" s="185"/>
      <c r="M29" s="185"/>
      <c r="N29" s="185"/>
      <c r="O29" s="185"/>
      <c r="P29" s="185"/>
      <c r="Q29" s="185"/>
      <c r="R29" s="185"/>
      <c r="S29" s="185"/>
    </row>
    <row r="30" spans="1:19" ht="7" customHeight="1">
      <c r="B30" s="204"/>
      <c r="D30" s="204"/>
      <c r="E30" s="204"/>
      <c r="I30" s="204"/>
      <c r="J30" s="204"/>
      <c r="K30" s="185"/>
      <c r="L30" s="185"/>
      <c r="M30" s="185"/>
      <c r="N30" s="185"/>
      <c r="O30" s="185"/>
      <c r="P30" s="185"/>
      <c r="Q30" s="185"/>
      <c r="R30" s="185"/>
      <c r="S30" s="185"/>
    </row>
    <row r="31" spans="1:19">
      <c r="A31" s="956" t="s">
        <v>170</v>
      </c>
      <c r="B31" s="205" t="s">
        <v>572</v>
      </c>
      <c r="C31" s="447">
        <v>0.1</v>
      </c>
      <c r="D31" s="447">
        <v>0.1</v>
      </c>
      <c r="E31" s="423">
        <v>0.1</v>
      </c>
      <c r="I31" s="637">
        <v>0.1</v>
      </c>
      <c r="J31" s="620">
        <v>0.1</v>
      </c>
      <c r="K31" s="185"/>
      <c r="L31" s="185"/>
      <c r="M31" s="185"/>
      <c r="N31" s="185"/>
      <c r="O31" s="185"/>
      <c r="P31" s="185"/>
      <c r="Q31" s="185"/>
      <c r="R31" s="185"/>
      <c r="S31" s="185"/>
    </row>
    <row r="32" spans="1:19">
      <c r="A32" s="957"/>
      <c r="B32" s="184" t="s">
        <v>200</v>
      </c>
      <c r="C32" s="174">
        <f>+C20</f>
        <v>62748</v>
      </c>
      <c r="D32" s="174">
        <f>+D20</f>
        <v>31375</v>
      </c>
      <c r="E32" s="448">
        <f>+E20</f>
        <v>70066</v>
      </c>
      <c r="I32" s="432">
        <f>+I20</f>
        <v>72075</v>
      </c>
      <c r="J32" s="801">
        <f>+J20</f>
        <v>74854</v>
      </c>
      <c r="K32" s="185"/>
      <c r="L32" s="185"/>
      <c r="M32" s="185"/>
      <c r="N32" s="185"/>
      <c r="O32" s="185"/>
      <c r="P32" s="185"/>
      <c r="Q32" s="185"/>
      <c r="R32" s="185"/>
      <c r="S32" s="185"/>
    </row>
    <row r="33" spans="1:10">
      <c r="A33" s="957"/>
      <c r="B33" s="184" t="s">
        <v>170</v>
      </c>
      <c r="C33" s="174">
        <f>ROUND(+C32*C31,0)</f>
        <v>6275</v>
      </c>
      <c r="D33" s="174">
        <f>ROUND(+D32*D31,0)</f>
        <v>3138</v>
      </c>
      <c r="E33" s="448">
        <f>ROUND(+E32*E31,0)</f>
        <v>7007</v>
      </c>
      <c r="I33" s="432">
        <f>ROUND(+I32*I31,0)</f>
        <v>7208</v>
      </c>
      <c r="J33" s="801">
        <f>ROUND(+J32*J31,0)</f>
        <v>7485</v>
      </c>
    </row>
    <row r="34" spans="1:10">
      <c r="A34" s="957"/>
      <c r="B34" s="184" t="s">
        <v>198</v>
      </c>
      <c r="C34" s="174">
        <f>+C29</f>
        <v>0</v>
      </c>
      <c r="D34" s="174">
        <f>+D29</f>
        <v>0</v>
      </c>
      <c r="E34" s="448">
        <f>+E29</f>
        <v>4200</v>
      </c>
      <c r="I34" s="432">
        <f>+I29</f>
        <v>4200</v>
      </c>
      <c r="J34" s="801">
        <f>+J29</f>
        <v>4200</v>
      </c>
    </row>
    <row r="35" spans="1:10">
      <c r="A35" s="957"/>
      <c r="B35" s="184" t="s">
        <v>321</v>
      </c>
      <c r="C35" s="174"/>
      <c r="D35" s="174"/>
      <c r="E35" s="448">
        <f>+E34+E33</f>
        <v>11207</v>
      </c>
      <c r="I35" s="432">
        <f>+I34+I33</f>
        <v>11408</v>
      </c>
      <c r="J35" s="801">
        <f>+J34+J33</f>
        <v>11685</v>
      </c>
    </row>
    <row r="36" spans="1:10">
      <c r="A36" s="957"/>
      <c r="B36" s="184" t="s">
        <v>203</v>
      </c>
      <c r="C36" s="174"/>
      <c r="D36" s="174"/>
      <c r="E36" s="634">
        <f>+E35/E20</f>
        <v>0.15994919076299488</v>
      </c>
      <c r="I36" s="454">
        <f>+I35/I20</f>
        <v>0.15827956989247313</v>
      </c>
      <c r="J36" s="599">
        <f>+J35/J20</f>
        <v>0.15610388222406285</v>
      </c>
    </row>
    <row r="37" spans="1:10">
      <c r="A37" s="957"/>
      <c r="B37" s="184" t="s">
        <v>320</v>
      </c>
      <c r="C37" s="174"/>
      <c r="D37" s="174"/>
      <c r="E37" s="635">
        <v>0.16</v>
      </c>
      <c r="I37" s="640">
        <v>0.16</v>
      </c>
      <c r="J37" s="600">
        <v>0.155</v>
      </c>
    </row>
    <row r="38" spans="1:10">
      <c r="A38" s="958"/>
      <c r="B38" s="199" t="s">
        <v>199</v>
      </c>
      <c r="C38" s="203">
        <f t="shared" ref="C38" si="0">+C33+C34</f>
        <v>6275</v>
      </c>
      <c r="D38" s="203">
        <f t="shared" ref="D38" si="1">+D33+D34</f>
        <v>3138</v>
      </c>
      <c r="E38" s="419">
        <f>ROUND(+E37*E20,0)</f>
        <v>11211</v>
      </c>
      <c r="I38" s="226">
        <f>ROUND(+I37*I20,0)</f>
        <v>11532</v>
      </c>
      <c r="J38" s="630">
        <f>ROUND(+J37*J20,0)</f>
        <v>11602</v>
      </c>
    </row>
    <row r="39" spans="1:10" hidden="1">
      <c r="B39" s="200" t="s">
        <v>203</v>
      </c>
      <c r="C39" s="424">
        <f>+C38/C32</f>
        <v>0.10000318735258494</v>
      </c>
      <c r="D39" s="424">
        <f>+D38/D32</f>
        <v>0.10001593625498008</v>
      </c>
      <c r="E39" s="216"/>
      <c r="I39" s="216"/>
      <c r="J39" s="216"/>
    </row>
    <row r="40" spans="1:10" ht="7" customHeight="1">
      <c r="B40" s="204"/>
      <c r="D40" s="204"/>
      <c r="E40" s="204"/>
      <c r="I40" s="204"/>
      <c r="J40" s="204"/>
    </row>
    <row r="41" spans="1:10">
      <c r="A41" s="956" t="s">
        <v>171</v>
      </c>
      <c r="B41" s="170" t="s">
        <v>573</v>
      </c>
      <c r="C41" s="447">
        <v>1.4999999999999999E-2</v>
      </c>
      <c r="D41" s="447">
        <v>1.4999999999999999E-2</v>
      </c>
      <c r="E41" s="447">
        <v>1.4999999999999999E-2</v>
      </c>
      <c r="I41" s="428">
        <v>1.4999999999999999E-2</v>
      </c>
      <c r="J41" s="1039">
        <v>1.4999999999999999E-2</v>
      </c>
    </row>
    <row r="42" spans="1:10">
      <c r="A42" s="957"/>
      <c r="B42" s="184" t="s">
        <v>574</v>
      </c>
      <c r="C42" s="425">
        <v>7.0000000000000001E-3</v>
      </c>
      <c r="D42" s="425">
        <v>7.0000000000000001E-3</v>
      </c>
      <c r="E42" s="425">
        <v>7.0000000000000001E-3</v>
      </c>
      <c r="I42" s="429">
        <v>7.0000000000000001E-3</v>
      </c>
      <c r="J42" s="626">
        <v>7.0000000000000001E-3</v>
      </c>
    </row>
    <row r="43" spans="1:10" hidden="1">
      <c r="A43" s="957"/>
      <c r="B43" s="184" t="s">
        <v>309</v>
      </c>
      <c r="C43" s="425">
        <v>7.0000000000000001E-3</v>
      </c>
      <c r="D43" s="425">
        <v>7.0000000000000001E-3</v>
      </c>
      <c r="E43" s="425">
        <v>0</v>
      </c>
      <c r="F43" s="969" t="s">
        <v>360</v>
      </c>
      <c r="G43" s="970"/>
      <c r="H43" s="971"/>
      <c r="I43" s="429">
        <v>0</v>
      </c>
      <c r="J43" s="626">
        <v>0</v>
      </c>
    </row>
    <row r="44" spans="1:10">
      <c r="A44" s="957"/>
      <c r="B44" s="184" t="s">
        <v>575</v>
      </c>
      <c r="C44" s="426">
        <f t="shared" ref="C44" si="2">+C41+C42+C43</f>
        <v>2.8999999999999998E-2</v>
      </c>
      <c r="D44" s="426">
        <f t="shared" ref="D44:E44" si="3">+D41+D42+D43</f>
        <v>2.8999999999999998E-2</v>
      </c>
      <c r="E44" s="426">
        <f t="shared" si="3"/>
        <v>2.1999999999999999E-2</v>
      </c>
      <c r="I44" s="430">
        <f t="shared" ref="I44:J44" si="4">+I41+I42+I43</f>
        <v>2.1999999999999999E-2</v>
      </c>
      <c r="J44" s="627">
        <f t="shared" si="4"/>
        <v>2.1999999999999999E-2</v>
      </c>
    </row>
    <row r="45" spans="1:10">
      <c r="A45" s="957"/>
      <c r="B45" s="184" t="s">
        <v>200</v>
      </c>
      <c r="C45" s="174">
        <f>+C20</f>
        <v>62748</v>
      </c>
      <c r="D45" s="174">
        <f>+D20</f>
        <v>31375</v>
      </c>
      <c r="E45" s="174">
        <f>+E20</f>
        <v>70066</v>
      </c>
      <c r="I45" s="143">
        <f>+I20</f>
        <v>72075</v>
      </c>
      <c r="J45" s="593">
        <f>+J20</f>
        <v>74854</v>
      </c>
    </row>
    <row r="46" spans="1:10">
      <c r="A46" s="958"/>
      <c r="B46" s="160" t="s">
        <v>204</v>
      </c>
      <c r="C46" s="203">
        <f>ROUND(+C45*C44,0)</f>
        <v>1820</v>
      </c>
      <c r="D46" s="203">
        <f>ROUND(+D45*D44,0)</f>
        <v>910</v>
      </c>
      <c r="E46" s="576">
        <f>ROUND(+E45*E44,0)</f>
        <v>1541</v>
      </c>
      <c r="I46" s="150">
        <f>ROUND(+I45*I44,0)</f>
        <v>1586</v>
      </c>
      <c r="J46" s="604">
        <f>ROUND(+J45*J44,0)</f>
        <v>1647</v>
      </c>
    </row>
    <row r="47" spans="1:10" ht="7.5" customHeight="1">
      <c r="D47" s="204"/>
    </row>
    <row r="48" spans="1:10">
      <c r="A48" s="956" t="s">
        <v>107</v>
      </c>
      <c r="B48" s="152" t="s">
        <v>209</v>
      </c>
      <c r="C48" s="580">
        <v>1200</v>
      </c>
      <c r="D48" s="794">
        <f>ROUND(C48*D$8,0)</f>
        <v>600</v>
      </c>
      <c r="E48" s="580">
        <v>1200</v>
      </c>
      <c r="I48" s="796">
        <v>1200</v>
      </c>
      <c r="J48" s="1040">
        <v>1200</v>
      </c>
    </row>
    <row r="49" spans="1:10">
      <c r="A49" s="957"/>
      <c r="B49" s="154" t="s">
        <v>489</v>
      </c>
      <c r="C49" s="418">
        <v>750</v>
      </c>
      <c r="D49" s="448">
        <f>ROUND(C49*D$8,0)</f>
        <v>375</v>
      </c>
      <c r="E49" s="418">
        <v>1300</v>
      </c>
      <c r="I49" s="225">
        <v>1300</v>
      </c>
      <c r="J49" s="628">
        <v>1300</v>
      </c>
    </row>
    <row r="50" spans="1:10">
      <c r="A50" s="957"/>
      <c r="B50" s="154" t="s">
        <v>501</v>
      </c>
      <c r="C50" s="418"/>
      <c r="D50" s="448"/>
      <c r="E50" s="418"/>
      <c r="I50" s="225"/>
      <c r="J50" s="628"/>
    </row>
    <row r="51" spans="1:10">
      <c r="A51" s="957"/>
      <c r="B51" s="154" t="s">
        <v>597</v>
      </c>
      <c r="C51" s="418"/>
      <c r="D51" s="448"/>
      <c r="E51" s="418"/>
      <c r="I51" s="225"/>
      <c r="J51" s="628"/>
    </row>
    <row r="52" spans="1:10">
      <c r="A52" s="957"/>
      <c r="B52" s="154" t="s">
        <v>107</v>
      </c>
      <c r="C52" s="418">
        <v>600</v>
      </c>
      <c r="D52" s="448">
        <f>ROUND(C52*D$8,0)</f>
        <v>300</v>
      </c>
      <c r="E52" s="418">
        <v>600</v>
      </c>
      <c r="I52" s="225">
        <v>600</v>
      </c>
      <c r="J52" s="628">
        <v>600</v>
      </c>
    </row>
    <row r="53" spans="1:10">
      <c r="A53" s="957"/>
      <c r="B53" s="184" t="s">
        <v>222</v>
      </c>
      <c r="C53" s="418">
        <v>480</v>
      </c>
      <c r="D53" s="448">
        <f>ROUND(C53*D$8,0)</f>
        <v>240</v>
      </c>
      <c r="E53" s="446">
        <v>480</v>
      </c>
      <c r="F53" s="314"/>
      <c r="G53" s="314"/>
      <c r="H53" s="314"/>
      <c r="I53" s="427">
        <v>480</v>
      </c>
      <c r="J53" s="1036">
        <v>480</v>
      </c>
    </row>
    <row r="54" spans="1:10" hidden="1">
      <c r="A54" s="957"/>
      <c r="B54" s="200" t="s">
        <v>301</v>
      </c>
      <c r="C54" s="446">
        <v>300</v>
      </c>
      <c r="D54" s="446">
        <v>300</v>
      </c>
      <c r="E54" s="446"/>
      <c r="I54" s="427"/>
      <c r="J54" s="1036"/>
    </row>
    <row r="55" spans="1:10">
      <c r="A55" s="958"/>
      <c r="B55" s="165" t="s">
        <v>211</v>
      </c>
      <c r="C55" s="419">
        <f>+SUM(C48:C54)</f>
        <v>3330</v>
      </c>
      <c r="D55" s="419">
        <f>+SUM(D48:D54)</f>
        <v>1815</v>
      </c>
      <c r="E55" s="577">
        <f>+SUM(E48:E53)</f>
        <v>3580</v>
      </c>
      <c r="H55" s="147"/>
      <c r="I55" s="226">
        <f>+SUM(I48:I53)</f>
        <v>3580</v>
      </c>
      <c r="J55" s="630">
        <f>+SUM(J48:J53)</f>
        <v>3580</v>
      </c>
    </row>
    <row r="56" spans="1:10" ht="8" customHeight="1">
      <c r="D56" s="204"/>
    </row>
    <row r="57" spans="1:10">
      <c r="B57" s="168" t="s">
        <v>315</v>
      </c>
      <c r="C57" s="420">
        <f>+C20+C22+C38+C46+C55</f>
        <v>96198</v>
      </c>
      <c r="D57" s="420">
        <f>+D20+D22+D38+D46+D55</f>
        <v>48251</v>
      </c>
      <c r="E57" s="169">
        <f>+E20+E38+E46+E55</f>
        <v>86398</v>
      </c>
      <c r="F57" s="147"/>
      <c r="G57" s="649"/>
      <c r="H57" s="451"/>
      <c r="I57" s="169">
        <f>+I20+I38+I46+I55</f>
        <v>88773</v>
      </c>
      <c r="J57" s="631">
        <f>+J20+J38+J46+J55</f>
        <v>91683</v>
      </c>
    </row>
    <row r="58" spans="1:10" ht="14.5" customHeight="1">
      <c r="B58" s="229" t="s">
        <v>288</v>
      </c>
      <c r="C58" s="215"/>
      <c r="D58" s="215"/>
      <c r="E58" s="215"/>
      <c r="I58" s="215">
        <f>+I57-E57</f>
        <v>2375</v>
      </c>
      <c r="J58" s="215">
        <f>+J57-E57</f>
        <v>5285</v>
      </c>
    </row>
    <row r="59" spans="1:10">
      <c r="I59" s="1041">
        <f>(+I57-E57)/E57</f>
        <v>2.7489062246811267E-2</v>
      </c>
      <c r="J59" s="1041">
        <f>(+J57-E57)/E57</f>
        <v>6.1170397462904237E-2</v>
      </c>
    </row>
    <row r="60" spans="1:10" ht="18.5">
      <c r="A60" s="1032" t="s">
        <v>598</v>
      </c>
      <c r="C60" s="140"/>
    </row>
    <row r="61" spans="1:10" ht="32" customHeight="1" thickBot="1">
      <c r="A61" s="1033"/>
      <c r="B61" s="1033"/>
      <c r="C61" s="140"/>
      <c r="I61" s="1033"/>
    </row>
    <row r="62" spans="1:10">
      <c r="A62" s="1031" t="s">
        <v>603</v>
      </c>
      <c r="C62" s="140"/>
      <c r="I62" s="1034" t="s">
        <v>599</v>
      </c>
    </row>
    <row r="63" spans="1:10">
      <c r="C63" s="140"/>
    </row>
    <row r="64" spans="1:10" ht="32" customHeight="1" thickBot="1">
      <c r="A64" s="1033"/>
      <c r="B64" s="1033"/>
      <c r="C64" s="140"/>
      <c r="I64" s="1033"/>
    </row>
    <row r="65" spans="1:9">
      <c r="A65" s="1031" t="s">
        <v>601</v>
      </c>
      <c r="C65" s="140"/>
      <c r="I65" s="1034" t="s">
        <v>599</v>
      </c>
    </row>
    <row r="66" spans="1:9">
      <c r="C66" s="140"/>
    </row>
    <row r="67" spans="1:9" ht="32" customHeight="1" thickBot="1">
      <c r="A67" s="1033"/>
      <c r="B67" s="1033"/>
      <c r="C67" s="140"/>
      <c r="I67" s="1033"/>
    </row>
    <row r="68" spans="1:9">
      <c r="A68" s="1031" t="s">
        <v>602</v>
      </c>
      <c r="C68" s="140"/>
      <c r="I68" s="1034" t="s">
        <v>599</v>
      </c>
    </row>
  </sheetData>
  <mergeCells count="13">
    <mergeCell ref="F43:H43"/>
    <mergeCell ref="A48:A55"/>
    <mergeCell ref="F17:H17"/>
    <mergeCell ref="A31:A38"/>
    <mergeCell ref="A41:A46"/>
    <mergeCell ref="A1:M1"/>
    <mergeCell ref="K3:M3"/>
    <mergeCell ref="F4:H11"/>
    <mergeCell ref="K4:M11"/>
    <mergeCell ref="A4:A20"/>
    <mergeCell ref="A22:A29"/>
    <mergeCell ref="B12:B14"/>
    <mergeCell ref="K13:M15"/>
  </mergeCells>
  <pageMargins left="0" right="0" top="0.25" bottom="0" header="0.3" footer="0.3"/>
  <pageSetup scale="86" orientation="portrait" horizontalDpi="4294967293" verticalDpi="0" r:id="rId1"/>
  <headerFooter>
    <oddFooter>&amp;R&amp;D</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Z79"/>
  <sheetViews>
    <sheetView showGridLines="0" topLeftCell="A46" workbookViewId="0">
      <selection activeCell="V63" sqref="V63"/>
    </sheetView>
  </sheetViews>
  <sheetFormatPr defaultRowHeight="14.5"/>
  <cols>
    <col min="1" max="1" width="7.453125" style="140" customWidth="1"/>
    <col min="2" max="2" width="39.26953125" style="140" customWidth="1"/>
    <col min="3" max="4" width="9.54296875" style="140" hidden="1" customWidth="1"/>
    <col min="5" max="5" width="9.36328125" style="140" customWidth="1"/>
    <col min="6" max="6" width="1.7265625" style="140" hidden="1" customWidth="1"/>
    <col min="7" max="7" width="4" style="140" hidden="1" customWidth="1"/>
    <col min="8" max="8" width="4.54296875" style="140" hidden="1" customWidth="1"/>
    <col min="9" max="9" width="4" style="140" hidden="1" customWidth="1"/>
    <col min="10" max="10" width="4.54296875" style="140" hidden="1" customWidth="1"/>
    <col min="11" max="11" width="4" style="140" hidden="1" customWidth="1"/>
    <col min="12" max="12" width="4.54296875" style="140" hidden="1" customWidth="1"/>
    <col min="13" max="13" width="4" style="140" hidden="1" customWidth="1"/>
    <col min="14" max="14" width="4.54296875" style="140" hidden="1" customWidth="1"/>
    <col min="15" max="15" width="4.26953125" style="140" hidden="1" customWidth="1"/>
    <col min="16" max="16" width="9.36328125" style="140" customWidth="1"/>
    <col min="17" max="17" width="1.7265625" style="140" customWidth="1"/>
    <col min="18" max="18" width="4" style="140" customWidth="1"/>
    <col min="19" max="19" width="4.54296875" style="140" customWidth="1"/>
    <col min="20" max="20" width="4" style="140" customWidth="1"/>
    <col min="21" max="21" width="4.54296875" style="140" customWidth="1"/>
    <col min="22" max="22" width="4" style="140" customWidth="1"/>
    <col min="23" max="23" width="4.54296875" style="140" customWidth="1"/>
    <col min="24" max="24" width="4" style="140" customWidth="1"/>
    <col min="25" max="25" width="4.54296875" style="140" customWidth="1"/>
    <col min="26" max="26" width="4.26953125" style="140" customWidth="1"/>
    <col min="27" max="16384" width="8.7265625" style="140"/>
  </cols>
  <sheetData>
    <row r="1" spans="1:26" ht="21">
      <c r="A1" s="933" t="s">
        <v>323</v>
      </c>
      <c r="B1" s="933"/>
      <c r="C1" s="933"/>
      <c r="D1" s="933"/>
      <c r="E1" s="933"/>
      <c r="F1" s="933"/>
      <c r="G1" s="933"/>
      <c r="H1" s="933"/>
      <c r="I1" s="933"/>
      <c r="J1" s="933"/>
      <c r="K1" s="933"/>
      <c r="L1" s="933"/>
      <c r="M1" s="933"/>
      <c r="N1" s="933"/>
      <c r="O1" s="933"/>
      <c r="P1" s="933"/>
      <c r="Q1" s="933"/>
      <c r="R1" s="933"/>
      <c r="S1" s="933"/>
      <c r="T1" s="933"/>
      <c r="U1" s="933"/>
      <c r="V1" s="933"/>
      <c r="W1" s="933"/>
      <c r="X1" s="933"/>
      <c r="Y1" s="933"/>
      <c r="Z1" s="933"/>
    </row>
    <row r="2" spans="1:26" ht="15" thickBot="1"/>
    <row r="3" spans="1:26" ht="32.5" customHeight="1" thickTop="1" thickBot="1">
      <c r="C3" s="506" t="s">
        <v>190</v>
      </c>
      <c r="D3" s="506" t="s">
        <v>287</v>
      </c>
      <c r="E3" s="507" t="s">
        <v>382</v>
      </c>
      <c r="F3" s="979" t="s">
        <v>322</v>
      </c>
      <c r="G3" s="979"/>
      <c r="H3" s="979"/>
      <c r="I3" s="979"/>
      <c r="J3" s="979"/>
      <c r="K3" s="979"/>
      <c r="L3" s="979"/>
      <c r="M3" s="979"/>
      <c r="N3" s="979"/>
      <c r="O3" s="980"/>
      <c r="P3" s="507" t="s">
        <v>481</v>
      </c>
      <c r="Q3" s="979" t="s">
        <v>322</v>
      </c>
      <c r="R3" s="979"/>
      <c r="S3" s="979"/>
      <c r="T3" s="979"/>
      <c r="U3" s="979"/>
      <c r="V3" s="979"/>
      <c r="W3" s="979"/>
      <c r="X3" s="979"/>
      <c r="Y3" s="979"/>
      <c r="Z3" s="980"/>
    </row>
    <row r="4" spans="1:26" ht="15" thickTop="1">
      <c r="A4" s="450"/>
      <c r="B4" s="322"/>
      <c r="C4" s="512"/>
      <c r="D4" s="513"/>
      <c r="E4" s="508"/>
      <c r="F4" s="317"/>
      <c r="G4" s="330">
        <v>4</v>
      </c>
      <c r="H4" s="308" t="s">
        <v>232</v>
      </c>
      <c r="I4" s="330">
        <v>4</v>
      </c>
      <c r="J4" s="308" t="s">
        <v>235</v>
      </c>
      <c r="K4" s="330">
        <v>4</v>
      </c>
      <c r="L4" s="308" t="s">
        <v>230</v>
      </c>
      <c r="M4" s="330">
        <v>4</v>
      </c>
      <c r="N4" s="308" t="s">
        <v>237</v>
      </c>
      <c r="O4" s="312"/>
      <c r="P4" s="508"/>
      <c r="Q4" s="317"/>
      <c r="R4" s="330">
        <v>5</v>
      </c>
      <c r="S4" s="308" t="s">
        <v>232</v>
      </c>
      <c r="T4" s="330">
        <v>4</v>
      </c>
      <c r="U4" s="308" t="s">
        <v>235</v>
      </c>
      <c r="V4" s="330">
        <v>5</v>
      </c>
      <c r="W4" s="308" t="s">
        <v>230</v>
      </c>
      <c r="X4" s="330">
        <v>5</v>
      </c>
      <c r="Y4" s="308" t="s">
        <v>237</v>
      </c>
      <c r="Z4" s="312"/>
    </row>
    <row r="5" spans="1:26">
      <c r="A5" s="329"/>
      <c r="B5" s="308"/>
      <c r="C5" s="513"/>
      <c r="D5" s="513"/>
      <c r="E5" s="508"/>
      <c r="F5" s="317"/>
      <c r="G5" s="330">
        <v>4</v>
      </c>
      <c r="H5" s="308" t="s">
        <v>233</v>
      </c>
      <c r="I5" s="330">
        <v>5</v>
      </c>
      <c r="J5" s="308" t="s">
        <v>228</v>
      </c>
      <c r="K5" s="330">
        <v>5</v>
      </c>
      <c r="L5" s="308" t="s">
        <v>236</v>
      </c>
      <c r="M5" s="330">
        <v>5</v>
      </c>
      <c r="N5" s="308" t="s">
        <v>238</v>
      </c>
      <c r="O5" s="312"/>
      <c r="P5" s="508"/>
      <c r="Q5" s="317"/>
      <c r="R5" s="330">
        <v>4</v>
      </c>
      <c r="S5" s="308" t="s">
        <v>233</v>
      </c>
      <c r="T5" s="330">
        <v>5</v>
      </c>
      <c r="U5" s="308" t="s">
        <v>228</v>
      </c>
      <c r="V5" s="330">
        <v>4</v>
      </c>
      <c r="W5" s="308" t="s">
        <v>236</v>
      </c>
      <c r="X5" s="330">
        <v>4</v>
      </c>
      <c r="Y5" s="308" t="s">
        <v>238</v>
      </c>
      <c r="Z5" s="312"/>
    </row>
    <row r="6" spans="1:26">
      <c r="A6" s="332" t="s">
        <v>226</v>
      </c>
      <c r="B6" s="333" t="s">
        <v>227</v>
      </c>
      <c r="C6" s="514">
        <v>52</v>
      </c>
      <c r="D6" s="514">
        <v>52</v>
      </c>
      <c r="E6" s="509">
        <f>+SUM(G4:G6)+SUM(I4:I6)+SUM(K4:K6)+SUM(M4:M6)</f>
        <v>52</v>
      </c>
      <c r="F6" s="468"/>
      <c r="G6" s="334">
        <v>5</v>
      </c>
      <c r="H6" s="333" t="s">
        <v>234</v>
      </c>
      <c r="I6" s="334">
        <v>4</v>
      </c>
      <c r="J6" s="333" t="s">
        <v>229</v>
      </c>
      <c r="K6" s="334">
        <v>4</v>
      </c>
      <c r="L6" s="333" t="s">
        <v>231</v>
      </c>
      <c r="M6" s="334">
        <v>4</v>
      </c>
      <c r="N6" s="333" t="s">
        <v>239</v>
      </c>
      <c r="O6" s="335"/>
      <c r="P6" s="509">
        <f>+SUM(R4:R6)+SUM(T4:T6)+SUM(V4:V6)+SUM(X4:X6)</f>
        <v>52</v>
      </c>
      <c r="Q6" s="468"/>
      <c r="R6" s="334">
        <v>4</v>
      </c>
      <c r="S6" s="333" t="s">
        <v>234</v>
      </c>
      <c r="T6" s="334">
        <v>4</v>
      </c>
      <c r="U6" s="333" t="s">
        <v>229</v>
      </c>
      <c r="V6" s="334">
        <v>4</v>
      </c>
      <c r="W6" s="333" t="s">
        <v>231</v>
      </c>
      <c r="X6" s="334">
        <v>4</v>
      </c>
      <c r="Y6" s="333" t="s">
        <v>239</v>
      </c>
      <c r="Z6" s="335"/>
    </row>
    <row r="7" spans="1:26">
      <c r="A7" s="336"/>
      <c r="B7" s="337" t="s">
        <v>240</v>
      </c>
      <c r="C7" s="510">
        <v>4</v>
      </c>
      <c r="D7" s="510">
        <v>4</v>
      </c>
      <c r="E7" s="510">
        <v>4</v>
      </c>
      <c r="F7" s="469"/>
      <c r="G7" s="337" t="s">
        <v>289</v>
      </c>
      <c r="H7" s="337"/>
      <c r="I7" s="337"/>
      <c r="J7" s="337"/>
      <c r="K7" s="337"/>
      <c r="L7" s="337"/>
      <c r="M7" s="337"/>
      <c r="N7" s="337"/>
      <c r="O7" s="338"/>
      <c r="P7" s="510">
        <v>4</v>
      </c>
      <c r="Q7" s="469"/>
      <c r="R7" s="337" t="s">
        <v>483</v>
      </c>
      <c r="S7" s="337"/>
      <c r="T7" s="337"/>
      <c r="U7" s="337"/>
      <c r="V7" s="337"/>
      <c r="W7" s="337"/>
      <c r="X7" s="337"/>
      <c r="Y7" s="337"/>
      <c r="Z7" s="338"/>
    </row>
    <row r="8" spans="1:26">
      <c r="A8" s="336"/>
      <c r="B8" s="337" t="s">
        <v>241</v>
      </c>
      <c r="C8" s="510">
        <v>6</v>
      </c>
      <c r="D8" s="510">
        <v>7</v>
      </c>
      <c r="E8" s="510">
        <v>7</v>
      </c>
      <c r="F8" s="469"/>
      <c r="G8" s="337" t="s">
        <v>290</v>
      </c>
      <c r="H8" s="337"/>
      <c r="I8" s="337"/>
      <c r="J8" s="337"/>
      <c r="K8" s="337"/>
      <c r="L8" s="337"/>
      <c r="M8" s="337"/>
      <c r="N8" s="337"/>
      <c r="O8" s="338"/>
      <c r="P8" s="510">
        <v>7</v>
      </c>
      <c r="Q8" s="469"/>
      <c r="R8" s="337" t="s">
        <v>486</v>
      </c>
      <c r="S8" s="337"/>
      <c r="T8" s="337"/>
      <c r="U8" s="337"/>
      <c r="V8" s="337"/>
      <c r="W8" s="337"/>
      <c r="X8" s="337"/>
      <c r="Y8" s="337"/>
      <c r="Z8" s="338"/>
    </row>
    <row r="9" spans="1:26">
      <c r="A9" s="336"/>
      <c r="B9" s="337" t="s">
        <v>293</v>
      </c>
      <c r="C9" s="510">
        <v>1</v>
      </c>
      <c r="D9" s="510">
        <v>1</v>
      </c>
      <c r="E9" s="510">
        <v>1</v>
      </c>
      <c r="F9" s="469"/>
      <c r="G9" s="337" t="s">
        <v>292</v>
      </c>
      <c r="H9" s="337"/>
      <c r="I9" s="337"/>
      <c r="J9" s="337"/>
      <c r="K9" s="337"/>
      <c r="L9" s="337"/>
      <c r="M9" s="337"/>
      <c r="N9" s="337"/>
      <c r="O9" s="338"/>
      <c r="P9" s="510">
        <v>0</v>
      </c>
      <c r="Q9" s="469"/>
      <c r="R9" s="337" t="s">
        <v>484</v>
      </c>
      <c r="S9" s="337"/>
      <c r="T9" s="337"/>
      <c r="U9" s="337"/>
      <c r="V9" s="337"/>
      <c r="W9" s="337"/>
      <c r="X9" s="337"/>
      <c r="Y9" s="337"/>
      <c r="Z9" s="338"/>
    </row>
    <row r="10" spans="1:26" ht="15" thickBot="1">
      <c r="A10" s="331"/>
      <c r="B10" s="318" t="s">
        <v>242</v>
      </c>
      <c r="C10" s="511">
        <v>15</v>
      </c>
      <c r="D10" s="511">
        <v>15</v>
      </c>
      <c r="E10" s="511">
        <v>15</v>
      </c>
      <c r="F10" s="470"/>
      <c r="G10" s="318" t="s">
        <v>291</v>
      </c>
      <c r="H10" s="318"/>
      <c r="I10" s="318"/>
      <c r="J10" s="318"/>
      <c r="K10" s="318"/>
      <c r="L10" s="318"/>
      <c r="M10" s="318"/>
      <c r="N10" s="318"/>
      <c r="O10" s="319"/>
      <c r="P10" s="511">
        <v>15</v>
      </c>
      <c r="Q10" s="470"/>
      <c r="R10" s="318" t="s">
        <v>485</v>
      </c>
      <c r="S10" s="318"/>
      <c r="T10" s="318"/>
      <c r="U10" s="318"/>
      <c r="V10" s="318"/>
      <c r="W10" s="318"/>
      <c r="X10" s="318"/>
      <c r="Y10" s="318"/>
      <c r="Z10" s="319"/>
    </row>
    <row r="11" spans="1:26" ht="16.5" customHeight="1" thickTop="1" thickBot="1">
      <c r="A11" s="339"/>
    </row>
    <row r="12" spans="1:26" ht="49" customHeight="1" thickTop="1" thickBot="1">
      <c r="A12" s="503" t="s">
        <v>224</v>
      </c>
      <c r="B12" s="500"/>
      <c r="C12" s="515">
        <v>3000</v>
      </c>
      <c r="D12" s="515">
        <v>3060</v>
      </c>
      <c r="E12" s="515">
        <v>3091</v>
      </c>
      <c r="F12" s="492"/>
      <c r="G12" s="981" t="s">
        <v>345</v>
      </c>
      <c r="H12" s="981"/>
      <c r="I12" s="981"/>
      <c r="J12" s="981"/>
      <c r="K12" s="981"/>
      <c r="L12" s="981"/>
      <c r="M12" s="981"/>
      <c r="N12" s="981"/>
      <c r="O12" s="982"/>
      <c r="P12" s="818">
        <f>ROUND(+E12*(1+'New Year-Full Year'!F100+0.025),0)</f>
        <v>3168</v>
      </c>
      <c r="Q12" s="492"/>
      <c r="R12" s="981" t="s">
        <v>345</v>
      </c>
      <c r="S12" s="981"/>
      <c r="T12" s="981"/>
      <c r="U12" s="981"/>
      <c r="V12" s="981"/>
      <c r="W12" s="981"/>
      <c r="X12" s="981"/>
      <c r="Y12" s="981"/>
      <c r="Z12" s="982"/>
    </row>
    <row r="13" spans="1:26" ht="15.5" thickTop="1" thickBot="1">
      <c r="A13" s="985" t="s">
        <v>249</v>
      </c>
      <c r="B13" s="986"/>
      <c r="C13" s="986"/>
      <c r="D13" s="986"/>
      <c r="E13" s="986"/>
      <c r="F13" s="986"/>
      <c r="G13" s="986"/>
      <c r="H13" s="986"/>
      <c r="I13" s="986"/>
      <c r="J13" s="986"/>
      <c r="K13" s="986"/>
      <c r="L13" s="986"/>
      <c r="M13" s="986"/>
      <c r="N13" s="986"/>
      <c r="O13" s="987"/>
    </row>
    <row r="14" spans="1:26" ht="15" customHeight="1" thickTop="1">
      <c r="A14" s="996" t="s">
        <v>584</v>
      </c>
      <c r="B14" s="321" t="s">
        <v>523</v>
      </c>
      <c r="C14" s="516">
        <v>37</v>
      </c>
      <c r="D14" s="516">
        <v>37</v>
      </c>
      <c r="E14" s="517">
        <f>+E6-E10</f>
        <v>37</v>
      </c>
      <c r="F14" s="471"/>
      <c r="G14" s="975" t="s">
        <v>265</v>
      </c>
      <c r="H14" s="975"/>
      <c r="I14" s="975"/>
      <c r="J14" s="975"/>
      <c r="K14" s="975"/>
      <c r="L14" s="975"/>
      <c r="M14" s="975"/>
      <c r="N14" s="975"/>
      <c r="O14" s="976"/>
      <c r="P14" s="517">
        <f>+P6-P10</f>
        <v>37</v>
      </c>
      <c r="Q14" s="471"/>
      <c r="R14" s="975" t="s">
        <v>265</v>
      </c>
      <c r="S14" s="975"/>
      <c r="T14" s="975"/>
      <c r="U14" s="975"/>
      <c r="V14" s="975"/>
      <c r="W14" s="975"/>
      <c r="X14" s="975"/>
      <c r="Y14" s="975"/>
      <c r="Z14" s="976"/>
    </row>
    <row r="15" spans="1:26">
      <c r="A15" s="997"/>
      <c r="B15" s="307" t="s">
        <v>513</v>
      </c>
      <c r="C15" s="518">
        <v>1</v>
      </c>
      <c r="D15" s="518">
        <v>1</v>
      </c>
      <c r="E15" s="518">
        <v>1</v>
      </c>
      <c r="F15" s="472"/>
      <c r="G15" s="977"/>
      <c r="H15" s="977"/>
      <c r="I15" s="977"/>
      <c r="J15" s="977"/>
      <c r="K15" s="977"/>
      <c r="L15" s="977"/>
      <c r="M15" s="977"/>
      <c r="N15" s="977"/>
      <c r="O15" s="978"/>
      <c r="P15" s="518">
        <v>1</v>
      </c>
      <c r="Q15" s="472"/>
      <c r="R15" s="977"/>
      <c r="S15" s="977"/>
      <c r="T15" s="977"/>
      <c r="U15" s="977"/>
      <c r="V15" s="977"/>
      <c r="W15" s="977"/>
      <c r="X15" s="977"/>
      <c r="Y15" s="977"/>
      <c r="Z15" s="978"/>
    </row>
    <row r="16" spans="1:26">
      <c r="A16" s="997"/>
      <c r="B16" s="313" t="s">
        <v>516</v>
      </c>
      <c r="C16" s="519">
        <f>+C14*C15</f>
        <v>37</v>
      </c>
      <c r="D16" s="519">
        <f>+D14*D15</f>
        <v>37</v>
      </c>
      <c r="E16" s="519">
        <f>+E14*E15</f>
        <v>37</v>
      </c>
      <c r="F16" s="473"/>
      <c r="G16" s="314"/>
      <c r="H16" s="314"/>
      <c r="I16" s="325"/>
      <c r="J16" s="314"/>
      <c r="K16" s="325"/>
      <c r="L16" s="314"/>
      <c r="M16" s="325"/>
      <c r="N16" s="314"/>
      <c r="O16" s="316"/>
      <c r="P16" s="519">
        <f>+P14*P15</f>
        <v>37</v>
      </c>
      <c r="Q16" s="473"/>
      <c r="R16" s="314"/>
      <c r="S16" s="314"/>
      <c r="T16" s="325"/>
      <c r="U16" s="314"/>
      <c r="V16" s="325"/>
      <c r="W16" s="314"/>
      <c r="X16" s="325"/>
      <c r="Y16" s="314"/>
      <c r="Z16" s="316"/>
    </row>
    <row r="17" spans="1:26">
      <c r="A17" s="998"/>
      <c r="B17" s="310" t="s">
        <v>517</v>
      </c>
      <c r="C17" s="520"/>
      <c r="D17" s="520"/>
      <c r="E17" s="520"/>
      <c r="F17" s="474"/>
      <c r="G17" s="153"/>
      <c r="H17" s="153"/>
      <c r="I17" s="206"/>
      <c r="J17" s="153"/>
      <c r="K17" s="206"/>
      <c r="L17" s="153"/>
      <c r="M17" s="206"/>
      <c r="N17" s="153"/>
      <c r="O17" s="311"/>
      <c r="P17" s="520"/>
      <c r="Q17" s="474"/>
      <c r="R17" s="153"/>
      <c r="S17" s="153"/>
      <c r="T17" s="206"/>
      <c r="U17" s="153"/>
      <c r="V17" s="206"/>
      <c r="W17" s="153"/>
      <c r="X17" s="206"/>
      <c r="Y17" s="153"/>
      <c r="Z17" s="311"/>
    </row>
    <row r="18" spans="1:26">
      <c r="A18" s="998"/>
      <c r="B18" s="307" t="s">
        <v>514</v>
      </c>
      <c r="C18" s="518">
        <v>0</v>
      </c>
      <c r="D18" s="518">
        <v>0</v>
      </c>
      <c r="E18" s="518">
        <v>0</v>
      </c>
      <c r="F18" s="472"/>
      <c r="G18" s="308" t="s">
        <v>243</v>
      </c>
      <c r="H18" s="185"/>
      <c r="J18" s="308"/>
      <c r="K18" s="185"/>
      <c r="L18" s="308"/>
      <c r="M18" s="185"/>
      <c r="N18" s="308"/>
      <c r="O18" s="312"/>
      <c r="P18" s="518">
        <v>4</v>
      </c>
      <c r="Q18" s="472"/>
      <c r="R18" s="308" t="s">
        <v>510</v>
      </c>
      <c r="S18" s="185"/>
      <c r="U18" s="308"/>
      <c r="V18" s="185"/>
      <c r="W18" s="308"/>
      <c r="X18" s="185"/>
      <c r="Y18" s="308"/>
      <c r="Z18" s="312"/>
    </row>
    <row r="19" spans="1:26">
      <c r="A19" s="998"/>
      <c r="B19" s="313" t="s">
        <v>515</v>
      </c>
      <c r="C19" s="519">
        <f>+C8</f>
        <v>6</v>
      </c>
      <c r="D19" s="519">
        <f>+D8</f>
        <v>7</v>
      </c>
      <c r="E19" s="519">
        <f>+E8</f>
        <v>7</v>
      </c>
      <c r="F19" s="473"/>
      <c r="G19" s="314" t="s">
        <v>244</v>
      </c>
      <c r="I19" s="315"/>
      <c r="J19" s="314"/>
      <c r="K19" s="315"/>
      <c r="L19" s="314"/>
      <c r="M19" s="315"/>
      <c r="N19" s="314"/>
      <c r="O19" s="316"/>
      <c r="P19" s="519">
        <f>+P8</f>
        <v>7</v>
      </c>
      <c r="Q19" s="473"/>
      <c r="R19" s="314" t="s">
        <v>244</v>
      </c>
      <c r="T19" s="315"/>
      <c r="U19" s="314"/>
      <c r="V19" s="315"/>
      <c r="W19" s="314"/>
      <c r="X19" s="315"/>
      <c r="Y19" s="314"/>
      <c r="Z19" s="316"/>
    </row>
    <row r="20" spans="1:26">
      <c r="A20" s="998"/>
      <c r="B20" s="310" t="s">
        <v>516</v>
      </c>
      <c r="C20" s="521">
        <f>SUM(C16:C19)</f>
        <v>43</v>
      </c>
      <c r="D20" s="521">
        <f>SUM(D16:D19)</f>
        <v>44</v>
      </c>
      <c r="E20" s="521">
        <f>SUM(E16:E19)</f>
        <v>44</v>
      </c>
      <c r="F20" s="475"/>
      <c r="G20" s="153"/>
      <c r="H20" s="153"/>
      <c r="I20" s="206"/>
      <c r="J20" s="153"/>
      <c r="K20" s="206"/>
      <c r="L20" s="153"/>
      <c r="M20" s="206"/>
      <c r="N20" s="153"/>
      <c r="O20" s="311"/>
      <c r="P20" s="521">
        <f>SUM(P16:P19)</f>
        <v>48</v>
      </c>
      <c r="Q20" s="475"/>
      <c r="R20" s="153"/>
      <c r="S20" s="153"/>
      <c r="T20" s="206"/>
      <c r="U20" s="153"/>
      <c r="V20" s="206"/>
      <c r="W20" s="153"/>
      <c r="X20" s="206"/>
      <c r="Y20" s="153"/>
      <c r="Z20" s="311"/>
    </row>
    <row r="21" spans="1:26">
      <c r="A21" s="998"/>
      <c r="B21" s="307" t="s">
        <v>251</v>
      </c>
      <c r="C21" s="522">
        <f>C14</f>
        <v>37</v>
      </c>
      <c r="D21" s="522">
        <f>D14</f>
        <v>37</v>
      </c>
      <c r="E21" s="522">
        <f>E14</f>
        <v>37</v>
      </c>
      <c r="F21" s="476"/>
      <c r="G21" s="308" t="s">
        <v>250</v>
      </c>
      <c r="I21" s="185"/>
      <c r="J21" s="308"/>
      <c r="K21" s="185"/>
      <c r="L21" s="308"/>
      <c r="M21" s="185"/>
      <c r="N21" s="308"/>
      <c r="O21" s="312"/>
      <c r="P21" s="522">
        <f>P14</f>
        <v>37</v>
      </c>
      <c r="Q21" s="476"/>
      <c r="R21" s="308" t="s">
        <v>519</v>
      </c>
      <c r="T21" s="185"/>
      <c r="U21" s="308"/>
      <c r="V21" s="185"/>
      <c r="W21" s="308"/>
      <c r="X21" s="185"/>
      <c r="Y21" s="308"/>
      <c r="Z21" s="312"/>
    </row>
    <row r="22" spans="1:26">
      <c r="A22" s="998"/>
      <c r="B22" s="313" t="s">
        <v>518</v>
      </c>
      <c r="C22" s="523">
        <f>+C20+C21</f>
        <v>80</v>
      </c>
      <c r="D22" s="523">
        <f>+D20+D21</f>
        <v>81</v>
      </c>
      <c r="E22" s="523">
        <f>+E20+E21</f>
        <v>81</v>
      </c>
      <c r="F22" s="477"/>
      <c r="G22" s="314"/>
      <c r="H22" s="314"/>
      <c r="I22" s="315"/>
      <c r="J22" s="314"/>
      <c r="K22" s="315"/>
      <c r="L22" s="314"/>
      <c r="M22" s="315"/>
      <c r="N22" s="314"/>
      <c r="O22" s="316"/>
      <c r="P22" s="523">
        <f>+P20+P21</f>
        <v>85</v>
      </c>
      <c r="Q22" s="477"/>
      <c r="R22" s="314"/>
      <c r="S22" s="314"/>
      <c r="T22" s="315"/>
      <c r="U22" s="314"/>
      <c r="V22" s="315"/>
      <c r="W22" s="314"/>
      <c r="X22" s="315"/>
      <c r="Y22" s="314"/>
      <c r="Z22" s="316"/>
    </row>
    <row r="23" spans="1:26">
      <c r="A23" s="999" t="s">
        <v>247</v>
      </c>
      <c r="B23" s="153" t="s">
        <v>256</v>
      </c>
      <c r="C23" s="520">
        <v>6</v>
      </c>
      <c r="D23" s="520">
        <v>6</v>
      </c>
      <c r="E23" s="520">
        <v>6</v>
      </c>
      <c r="F23" s="474"/>
      <c r="G23" s="153"/>
      <c r="H23" s="153"/>
      <c r="I23" s="206"/>
      <c r="J23" s="153"/>
      <c r="K23" s="206"/>
      <c r="L23" s="153"/>
      <c r="M23" s="206"/>
      <c r="N23" s="153"/>
      <c r="O23" s="311"/>
      <c r="P23" s="520">
        <v>5</v>
      </c>
      <c r="Q23" s="474"/>
      <c r="R23" s="153" t="s">
        <v>511</v>
      </c>
      <c r="S23" s="153"/>
      <c r="T23" s="206"/>
      <c r="U23" s="153"/>
      <c r="V23" s="206"/>
      <c r="W23" s="153"/>
      <c r="X23" s="206"/>
      <c r="Y23" s="153"/>
      <c r="Z23" s="311"/>
    </row>
    <row r="24" spans="1:26">
      <c r="A24" s="1000"/>
      <c r="B24" s="308" t="s">
        <v>520</v>
      </c>
      <c r="C24" s="518">
        <v>0</v>
      </c>
      <c r="D24" s="518">
        <v>3</v>
      </c>
      <c r="E24" s="518">
        <v>3</v>
      </c>
      <c r="F24" s="472"/>
      <c r="G24" s="308" t="s">
        <v>294</v>
      </c>
      <c r="I24" s="185"/>
      <c r="J24" s="308"/>
      <c r="K24" s="185"/>
      <c r="L24" s="308"/>
      <c r="M24" s="185"/>
      <c r="N24" s="308"/>
      <c r="O24" s="312"/>
      <c r="P24" s="518">
        <v>3</v>
      </c>
      <c r="Q24" s="472"/>
      <c r="R24" s="308"/>
      <c r="T24" s="185"/>
      <c r="U24" s="308"/>
      <c r="V24" s="185"/>
      <c r="W24" s="308"/>
      <c r="X24" s="185"/>
      <c r="Y24" s="308"/>
      <c r="Z24" s="312"/>
    </row>
    <row r="25" spans="1:26">
      <c r="A25" s="1000"/>
      <c r="B25" s="308" t="s">
        <v>246</v>
      </c>
      <c r="C25" s="524">
        <v>25</v>
      </c>
      <c r="D25" s="524">
        <v>25</v>
      </c>
      <c r="E25" s="524">
        <v>25</v>
      </c>
      <c r="F25" s="478"/>
      <c r="G25" s="308"/>
      <c r="H25" s="308"/>
      <c r="I25" s="185"/>
      <c r="J25" s="308"/>
      <c r="K25" s="185"/>
      <c r="L25" s="308"/>
      <c r="M25" s="185"/>
      <c r="N25" s="308"/>
      <c r="O25" s="312"/>
      <c r="P25" s="524">
        <v>25</v>
      </c>
      <c r="Q25" s="478"/>
      <c r="R25" s="308"/>
      <c r="S25" s="308"/>
      <c r="T25" s="185"/>
      <c r="U25" s="308"/>
      <c r="V25" s="185"/>
      <c r="W25" s="308"/>
      <c r="X25" s="185"/>
      <c r="Y25" s="308"/>
      <c r="Z25" s="312"/>
    </row>
    <row r="26" spans="1:26">
      <c r="A26" s="1001"/>
      <c r="B26" s="314" t="s">
        <v>521</v>
      </c>
      <c r="C26" s="525">
        <v>30</v>
      </c>
      <c r="D26" s="525">
        <v>30</v>
      </c>
      <c r="E26" s="525">
        <v>30</v>
      </c>
      <c r="F26" s="479"/>
      <c r="G26" s="314"/>
      <c r="H26" s="314"/>
      <c r="I26" s="315"/>
      <c r="J26" s="314"/>
      <c r="K26" s="315"/>
      <c r="L26" s="314"/>
      <c r="M26" s="315"/>
      <c r="N26" s="314"/>
      <c r="O26" s="316"/>
      <c r="P26" s="525">
        <v>35</v>
      </c>
      <c r="Q26" s="479"/>
      <c r="R26" s="314"/>
      <c r="S26" s="314"/>
      <c r="T26" s="315"/>
      <c r="U26" s="314"/>
      <c r="V26" s="315"/>
      <c r="W26" s="314"/>
      <c r="X26" s="315"/>
      <c r="Y26" s="314"/>
      <c r="Z26" s="316"/>
    </row>
    <row r="27" spans="1:26">
      <c r="A27" s="999" t="s">
        <v>248</v>
      </c>
      <c r="B27" s="153" t="s">
        <v>245</v>
      </c>
      <c r="C27" s="526">
        <f>+C21*C23*C25</f>
        <v>5550</v>
      </c>
      <c r="D27" s="526">
        <f>(+D21*D23*D25)+(D24*2*D25)</f>
        <v>5700</v>
      </c>
      <c r="E27" s="526">
        <f>(+E21*E23*E25)+(E24*2*E25)</f>
        <v>5700</v>
      </c>
      <c r="F27" s="480"/>
      <c r="G27" s="153"/>
      <c r="H27" s="153"/>
      <c r="I27" s="206"/>
      <c r="J27" s="153"/>
      <c r="K27" s="206"/>
      <c r="L27" s="153"/>
      <c r="M27" s="206"/>
      <c r="N27" s="153"/>
      <c r="O27" s="311"/>
      <c r="P27" s="526">
        <f>(+P21*P23*P25)+(P24*2*P25)</f>
        <v>4775</v>
      </c>
      <c r="Q27" s="480"/>
      <c r="R27" s="153"/>
      <c r="S27" s="153"/>
      <c r="T27" s="206"/>
      <c r="U27" s="153"/>
      <c r="V27" s="206"/>
      <c r="W27" s="153"/>
      <c r="X27" s="206"/>
      <c r="Y27" s="153"/>
      <c r="Z27" s="311"/>
    </row>
    <row r="28" spans="1:26">
      <c r="A28" s="1000"/>
      <c r="B28" s="308" t="s">
        <v>522</v>
      </c>
      <c r="C28" s="527">
        <f>+C20*C23*C26</f>
        <v>7740</v>
      </c>
      <c r="D28" s="527">
        <f>(+D20*D23*D26)+(D24*2*D26)</f>
        <v>8100</v>
      </c>
      <c r="E28" s="527">
        <f>(+E20*E23*E26)+(E24*2*E26)</f>
        <v>8100</v>
      </c>
      <c r="F28" s="481"/>
      <c r="G28" s="308"/>
      <c r="H28" s="308"/>
      <c r="I28" s="185"/>
      <c r="J28" s="317"/>
      <c r="K28" s="185"/>
      <c r="L28" s="308"/>
      <c r="M28" s="185"/>
      <c r="N28" s="308"/>
      <c r="O28" s="312"/>
      <c r="P28" s="527">
        <f>(+P20*P23*P26)+(P24*2*P26)</f>
        <v>8610</v>
      </c>
      <c r="Q28" s="481"/>
      <c r="R28" s="308"/>
      <c r="S28" s="308"/>
      <c r="T28" s="185"/>
      <c r="U28" s="317"/>
      <c r="V28" s="185"/>
      <c r="W28" s="308"/>
      <c r="X28" s="185"/>
      <c r="Y28" s="308"/>
      <c r="Z28" s="312"/>
    </row>
    <row r="29" spans="1:26" ht="15" thickBot="1">
      <c r="A29" s="1002"/>
      <c r="B29" s="504" t="s">
        <v>252</v>
      </c>
      <c r="C29" s="528">
        <f>+C27+C28</f>
        <v>13290</v>
      </c>
      <c r="D29" s="528">
        <f>+D27+D28</f>
        <v>13800</v>
      </c>
      <c r="E29" s="529">
        <f>+E27+E28</f>
        <v>13800</v>
      </c>
      <c r="F29" s="493"/>
      <c r="G29" s="453"/>
      <c r="H29" s="453"/>
      <c r="I29" s="453"/>
      <c r="J29" s="453"/>
      <c r="K29" s="453"/>
      <c r="L29" s="453"/>
      <c r="M29" s="453"/>
      <c r="N29" s="453"/>
      <c r="O29" s="494"/>
      <c r="P29" s="529">
        <f>+P27+P28</f>
        <v>13385</v>
      </c>
      <c r="Q29" s="493"/>
      <c r="R29" s="453"/>
      <c r="S29" s="453"/>
      <c r="T29" s="453"/>
      <c r="U29" s="453"/>
      <c r="V29" s="453"/>
      <c r="W29" s="453"/>
      <c r="X29" s="453"/>
      <c r="Y29" s="453"/>
      <c r="Z29" s="494"/>
    </row>
    <row r="30" spans="1:26" ht="15.5" thickTop="1" thickBot="1">
      <c r="A30" s="985" t="s">
        <v>545</v>
      </c>
      <c r="B30" s="986"/>
      <c r="C30" s="986"/>
      <c r="D30" s="986"/>
      <c r="E30" s="986"/>
      <c r="F30" s="986"/>
      <c r="G30" s="986"/>
      <c r="H30" s="986"/>
      <c r="I30" s="986"/>
      <c r="J30" s="986"/>
      <c r="K30" s="986"/>
      <c r="L30" s="986"/>
      <c r="M30" s="986"/>
      <c r="N30" s="986"/>
      <c r="O30" s="987"/>
    </row>
    <row r="31" spans="1:26" ht="15" customHeight="1" thickTop="1">
      <c r="A31" s="1003" t="s">
        <v>584</v>
      </c>
      <c r="B31" s="322" t="s">
        <v>523</v>
      </c>
      <c r="C31" s="530">
        <v>52</v>
      </c>
      <c r="D31" s="530">
        <v>52</v>
      </c>
      <c r="E31" s="530">
        <f>+E6</f>
        <v>52</v>
      </c>
      <c r="F31" s="482"/>
      <c r="G31" s="322"/>
      <c r="H31" s="322"/>
      <c r="I31" s="323"/>
      <c r="J31" s="322"/>
      <c r="K31" s="323"/>
      <c r="L31" s="322"/>
      <c r="M31" s="323"/>
      <c r="N31" s="322"/>
      <c r="O31" s="324"/>
      <c r="P31" s="530">
        <f>+P6</f>
        <v>52</v>
      </c>
      <c r="Q31" s="482"/>
      <c r="R31" s="322"/>
      <c r="S31" s="322"/>
      <c r="T31" s="323"/>
      <c r="U31" s="322"/>
      <c r="V31" s="323"/>
      <c r="W31" s="322"/>
      <c r="X31" s="323"/>
      <c r="Y31" s="322"/>
      <c r="Z31" s="324"/>
    </row>
    <row r="32" spans="1:26">
      <c r="A32" s="1004"/>
      <c r="B32" s="308" t="s">
        <v>513</v>
      </c>
      <c r="C32" s="531">
        <v>2</v>
      </c>
      <c r="D32" s="531">
        <v>2</v>
      </c>
      <c r="E32" s="531">
        <v>2</v>
      </c>
      <c r="F32" s="483"/>
      <c r="G32" s="308"/>
      <c r="H32" s="308"/>
      <c r="I32" s="185"/>
      <c r="J32" s="308"/>
      <c r="K32" s="185"/>
      <c r="L32" s="308"/>
      <c r="M32" s="185"/>
      <c r="N32" s="308"/>
      <c r="O32" s="312"/>
      <c r="P32" s="531">
        <v>2</v>
      </c>
      <c r="Q32" s="483"/>
      <c r="R32" s="308"/>
      <c r="S32" s="308"/>
      <c r="T32" s="185"/>
      <c r="U32" s="308"/>
      <c r="V32" s="185"/>
      <c r="W32" s="308"/>
      <c r="X32" s="185"/>
      <c r="Y32" s="308"/>
      <c r="Z32" s="312"/>
    </row>
    <row r="33" spans="1:26">
      <c r="A33" s="1004"/>
      <c r="B33" s="314" t="s">
        <v>578</v>
      </c>
      <c r="C33" s="532">
        <f>+C31*C32</f>
        <v>104</v>
      </c>
      <c r="D33" s="532">
        <f>+D31*D32</f>
        <v>104</v>
      </c>
      <c r="E33" s="532">
        <f>+E31*E32</f>
        <v>104</v>
      </c>
      <c r="F33" s="484"/>
      <c r="G33" s="314"/>
      <c r="H33" s="314"/>
      <c r="I33" s="315"/>
      <c r="J33" s="314"/>
      <c r="K33" s="315"/>
      <c r="L33" s="314"/>
      <c r="M33" s="315"/>
      <c r="N33" s="314"/>
      <c r="O33" s="316"/>
      <c r="P33" s="532">
        <f>+P31*P32</f>
        <v>104</v>
      </c>
      <c r="Q33" s="484"/>
      <c r="R33" s="314"/>
      <c r="S33" s="314"/>
      <c r="T33" s="315"/>
      <c r="U33" s="314"/>
      <c r="V33" s="315"/>
      <c r="W33" s="314"/>
      <c r="X33" s="315"/>
      <c r="Y33" s="314"/>
      <c r="Z33" s="316"/>
    </row>
    <row r="34" spans="1:26">
      <c r="A34" s="1004"/>
      <c r="B34" s="153" t="s">
        <v>579</v>
      </c>
      <c r="C34" s="533"/>
      <c r="D34" s="533"/>
      <c r="E34" s="533"/>
      <c r="F34" s="485"/>
      <c r="G34" s="153"/>
      <c r="H34" s="153"/>
      <c r="I34" s="206"/>
      <c r="J34" s="153"/>
      <c r="K34" s="206"/>
      <c r="L34" s="153"/>
      <c r="M34" s="206"/>
      <c r="N34" s="153"/>
      <c r="O34" s="311"/>
      <c r="P34" s="533"/>
      <c r="Q34" s="485"/>
      <c r="R34" s="153"/>
      <c r="S34" s="153"/>
      <c r="T34" s="206"/>
      <c r="U34" s="153"/>
      <c r="V34" s="206"/>
      <c r="W34" s="153"/>
      <c r="X34" s="206"/>
      <c r="Y34" s="153"/>
      <c r="Z34" s="311"/>
    </row>
    <row r="35" spans="1:26">
      <c r="A35" s="1004"/>
      <c r="B35" s="308" t="s">
        <v>253</v>
      </c>
      <c r="C35" s="534">
        <f t="shared" ref="C35:E36" si="0">+C7</f>
        <v>4</v>
      </c>
      <c r="D35" s="534">
        <f t="shared" si="0"/>
        <v>4</v>
      </c>
      <c r="E35" s="534">
        <f t="shared" si="0"/>
        <v>4</v>
      </c>
      <c r="F35" s="486"/>
      <c r="G35" s="308"/>
      <c r="H35" s="308"/>
      <c r="I35" s="185"/>
      <c r="J35" s="308"/>
      <c r="K35" s="185"/>
      <c r="L35" s="308"/>
      <c r="M35" s="185"/>
      <c r="N35" s="308"/>
      <c r="O35" s="312"/>
      <c r="P35" s="534">
        <f t="shared" ref="P35" si="1">+P7</f>
        <v>4</v>
      </c>
      <c r="Q35" s="486"/>
      <c r="R35" s="308"/>
      <c r="S35" s="308"/>
      <c r="T35" s="185"/>
      <c r="U35" s="308"/>
      <c r="V35" s="185"/>
      <c r="W35" s="308"/>
      <c r="X35" s="185"/>
      <c r="Y35" s="308"/>
      <c r="Z35" s="312"/>
    </row>
    <row r="36" spans="1:26">
      <c r="A36" s="1004"/>
      <c r="B36" s="308" t="s">
        <v>254</v>
      </c>
      <c r="C36" s="534">
        <f t="shared" si="0"/>
        <v>6</v>
      </c>
      <c r="D36" s="534">
        <f t="shared" si="0"/>
        <v>7</v>
      </c>
      <c r="E36" s="534">
        <f t="shared" si="0"/>
        <v>7</v>
      </c>
      <c r="F36" s="486"/>
      <c r="G36" s="308"/>
      <c r="H36" s="308"/>
      <c r="I36" s="185"/>
      <c r="J36" s="308"/>
      <c r="K36" s="185"/>
      <c r="L36" s="308"/>
      <c r="M36" s="185"/>
      <c r="N36" s="308"/>
      <c r="O36" s="312"/>
      <c r="P36" s="534">
        <f t="shared" ref="P36" si="2">+P8</f>
        <v>7</v>
      </c>
      <c r="Q36" s="486"/>
      <c r="R36" s="308"/>
      <c r="S36" s="308"/>
      <c r="T36" s="185"/>
      <c r="U36" s="308"/>
      <c r="V36" s="185"/>
      <c r="W36" s="308"/>
      <c r="X36" s="185"/>
      <c r="Y36" s="308"/>
      <c r="Z36" s="312"/>
    </row>
    <row r="37" spans="1:26">
      <c r="A37" s="1004"/>
      <c r="B37" s="185" t="s">
        <v>255</v>
      </c>
      <c r="C37" s="535">
        <v>20</v>
      </c>
      <c r="D37" s="535">
        <v>20</v>
      </c>
      <c r="E37" s="535">
        <v>20</v>
      </c>
      <c r="F37" s="487"/>
      <c r="G37" s="185" t="s">
        <v>266</v>
      </c>
      <c r="I37" s="185"/>
      <c r="J37" s="185"/>
      <c r="K37" s="185"/>
      <c r="L37" s="185"/>
      <c r="M37" s="185"/>
      <c r="N37" s="185"/>
      <c r="O37" s="327"/>
      <c r="P37" s="535">
        <v>0</v>
      </c>
      <c r="Q37" s="487"/>
      <c r="R37" s="185" t="s">
        <v>524</v>
      </c>
      <c r="T37" s="185"/>
      <c r="U37" s="185"/>
      <c r="V37" s="185"/>
      <c r="W37" s="185"/>
      <c r="X37" s="185"/>
      <c r="Y37" s="185"/>
      <c r="Z37" s="327"/>
    </row>
    <row r="38" spans="1:26">
      <c r="A38" s="1005"/>
      <c r="B38" s="315" t="s">
        <v>580</v>
      </c>
      <c r="C38" s="536">
        <f>SUM(C33:C37)</f>
        <v>134</v>
      </c>
      <c r="D38" s="536">
        <f>SUM(D33:D37)</f>
        <v>135</v>
      </c>
      <c r="E38" s="536">
        <f>SUM(E33:E37)</f>
        <v>135</v>
      </c>
      <c r="F38" s="315"/>
      <c r="G38" s="315"/>
      <c r="H38" s="315"/>
      <c r="I38" s="315"/>
      <c r="J38" s="315"/>
      <c r="K38" s="315"/>
      <c r="L38" s="315"/>
      <c r="M38" s="315"/>
      <c r="N38" s="315"/>
      <c r="O38" s="326"/>
      <c r="P38" s="536">
        <f>SUM(P33:P37)</f>
        <v>115</v>
      </c>
      <c r="Q38" s="315"/>
      <c r="R38" s="315"/>
      <c r="S38" s="315"/>
      <c r="T38" s="315"/>
      <c r="U38" s="315"/>
      <c r="V38" s="315"/>
      <c r="W38" s="315"/>
      <c r="X38" s="315"/>
      <c r="Y38" s="315"/>
      <c r="Z38" s="326"/>
    </row>
    <row r="39" spans="1:26">
      <c r="A39" s="995" t="s">
        <v>257</v>
      </c>
      <c r="B39" s="153" t="s">
        <v>582</v>
      </c>
      <c r="C39" s="537">
        <v>1</v>
      </c>
      <c r="D39" s="537">
        <v>1</v>
      </c>
      <c r="E39" s="537">
        <v>1</v>
      </c>
      <c r="F39" s="163"/>
      <c r="G39" s="153"/>
      <c r="H39" s="153"/>
      <c r="I39" s="206"/>
      <c r="J39" s="153"/>
      <c r="K39" s="206"/>
      <c r="L39" s="153"/>
      <c r="M39" s="206"/>
      <c r="N39" s="153"/>
      <c r="O39" s="311"/>
      <c r="P39" s="537">
        <v>2</v>
      </c>
      <c r="Q39" s="163"/>
      <c r="R39" s="153" t="s">
        <v>581</v>
      </c>
      <c r="S39" s="153"/>
      <c r="T39" s="206"/>
      <c r="U39" s="153"/>
      <c r="V39" s="206"/>
      <c r="W39" s="153"/>
      <c r="X39" s="206"/>
      <c r="Y39" s="153"/>
      <c r="Z39" s="311"/>
    </row>
    <row r="40" spans="1:26">
      <c r="A40" s="994"/>
      <c r="B40" s="314" t="s">
        <v>525</v>
      </c>
      <c r="C40" s="538">
        <v>25</v>
      </c>
      <c r="D40" s="538">
        <v>25</v>
      </c>
      <c r="E40" s="538">
        <v>25</v>
      </c>
      <c r="F40" s="488"/>
      <c r="G40" s="314"/>
      <c r="H40" s="314"/>
      <c r="I40" s="315"/>
      <c r="J40" s="314"/>
      <c r="K40" s="315"/>
      <c r="L40" s="314"/>
      <c r="M40" s="315"/>
      <c r="N40" s="314"/>
      <c r="O40" s="316"/>
      <c r="P40" s="538">
        <v>25</v>
      </c>
      <c r="Q40" s="488"/>
      <c r="R40" s="314"/>
      <c r="S40" s="314"/>
      <c r="T40" s="315"/>
      <c r="U40" s="314"/>
      <c r="V40" s="315"/>
      <c r="W40" s="314"/>
      <c r="X40" s="315"/>
      <c r="Y40" s="314"/>
      <c r="Z40" s="316"/>
    </row>
    <row r="41" spans="1:26" ht="29" customHeight="1" thickBot="1">
      <c r="A41" s="328" t="s">
        <v>248</v>
      </c>
      <c r="B41" s="505" t="s">
        <v>583</v>
      </c>
      <c r="C41" s="539">
        <f>+C38*C39*C40</f>
        <v>3350</v>
      </c>
      <c r="D41" s="539">
        <f>+D38*D39*D40</f>
        <v>3375</v>
      </c>
      <c r="E41" s="540">
        <f>+E38*E39*E40</f>
        <v>3375</v>
      </c>
      <c r="F41" s="496"/>
      <c r="G41" s="495"/>
      <c r="H41" s="983"/>
      <c r="I41" s="983"/>
      <c r="J41" s="983"/>
      <c r="K41" s="983"/>
      <c r="L41" s="983"/>
      <c r="M41" s="983"/>
      <c r="N41" s="983"/>
      <c r="O41" s="984"/>
      <c r="P41" s="540">
        <f>+P38*P39*P40</f>
        <v>5750</v>
      </c>
      <c r="Q41" s="496"/>
      <c r="R41" s="495"/>
      <c r="S41" s="983"/>
      <c r="T41" s="983"/>
      <c r="U41" s="983"/>
      <c r="V41" s="983"/>
      <c r="W41" s="983"/>
      <c r="X41" s="983"/>
      <c r="Y41" s="983"/>
      <c r="Z41" s="984"/>
    </row>
    <row r="42" spans="1:26" ht="15.5" thickTop="1" thickBot="1">
      <c r="A42" s="985" t="s">
        <v>268</v>
      </c>
      <c r="B42" s="986"/>
      <c r="C42" s="986"/>
      <c r="D42" s="986"/>
      <c r="E42" s="986"/>
      <c r="F42" s="986"/>
      <c r="G42" s="986"/>
      <c r="H42" s="986"/>
      <c r="I42" s="986"/>
      <c r="J42" s="986"/>
      <c r="K42" s="986"/>
      <c r="L42" s="986"/>
      <c r="M42" s="986"/>
      <c r="N42" s="986"/>
      <c r="O42" s="987"/>
    </row>
    <row r="43" spans="1:26" ht="15" customHeight="1" thickTop="1">
      <c r="A43" s="992" t="s">
        <v>584</v>
      </c>
      <c r="B43" s="322" t="s">
        <v>512</v>
      </c>
      <c r="C43" s="530">
        <f>+C10</f>
        <v>15</v>
      </c>
      <c r="D43" s="530">
        <f>+D10</f>
        <v>15</v>
      </c>
      <c r="E43" s="530">
        <f>+E10</f>
        <v>15</v>
      </c>
      <c r="F43" s="482"/>
      <c r="G43" s="975" t="str">
        <f>+G10</f>
        <v>Memorial Day (May 25) - Labor Day (Sept 7)</v>
      </c>
      <c r="H43" s="975"/>
      <c r="I43" s="975"/>
      <c r="J43" s="975"/>
      <c r="K43" s="975"/>
      <c r="L43" s="975"/>
      <c r="M43" s="975"/>
      <c r="N43" s="975"/>
      <c r="O43" s="976"/>
      <c r="P43" s="530">
        <f>+P10</f>
        <v>15</v>
      </c>
      <c r="Q43" s="482"/>
      <c r="R43" s="975" t="str">
        <f>+R10</f>
        <v>Memorial Day (May 30) - Labor Day (Sept 5)</v>
      </c>
      <c r="S43" s="975"/>
      <c r="T43" s="975"/>
      <c r="U43" s="975"/>
      <c r="V43" s="975"/>
      <c r="W43" s="975"/>
      <c r="X43" s="975"/>
      <c r="Y43" s="975"/>
      <c r="Z43" s="976"/>
    </row>
    <row r="44" spans="1:26">
      <c r="A44" s="993"/>
      <c r="B44" s="308" t="s">
        <v>513</v>
      </c>
      <c r="C44" s="531">
        <v>1</v>
      </c>
      <c r="D44" s="531">
        <v>1</v>
      </c>
      <c r="E44" s="531">
        <v>1</v>
      </c>
      <c r="F44" s="483"/>
      <c r="G44" s="977"/>
      <c r="H44" s="977"/>
      <c r="I44" s="977"/>
      <c r="J44" s="977"/>
      <c r="K44" s="977"/>
      <c r="L44" s="977"/>
      <c r="M44" s="977"/>
      <c r="N44" s="977"/>
      <c r="O44" s="978"/>
      <c r="P44" s="531">
        <v>1</v>
      </c>
      <c r="Q44" s="483"/>
      <c r="R44" s="977"/>
      <c r="S44" s="977"/>
      <c r="T44" s="977"/>
      <c r="U44" s="977"/>
      <c r="V44" s="977"/>
      <c r="W44" s="977"/>
      <c r="X44" s="977"/>
      <c r="Y44" s="977"/>
      <c r="Z44" s="978"/>
    </row>
    <row r="45" spans="1:26">
      <c r="A45" s="994"/>
      <c r="B45" s="314" t="s">
        <v>526</v>
      </c>
      <c r="C45" s="532">
        <f>+C43*C44</f>
        <v>15</v>
      </c>
      <c r="D45" s="532">
        <f>+D43*D44</f>
        <v>15</v>
      </c>
      <c r="E45" s="532">
        <f>+E43*E44</f>
        <v>15</v>
      </c>
      <c r="F45" s="484"/>
      <c r="G45" s="314"/>
      <c r="H45" s="314"/>
      <c r="I45" s="315"/>
      <c r="J45" s="314"/>
      <c r="K45" s="315"/>
      <c r="L45" s="314"/>
      <c r="M45" s="315"/>
      <c r="N45" s="314"/>
      <c r="O45" s="316"/>
      <c r="P45" s="532">
        <f>+P43*P44</f>
        <v>15</v>
      </c>
      <c r="Q45" s="484"/>
      <c r="R45" s="314"/>
      <c r="S45" s="314"/>
      <c r="T45" s="315"/>
      <c r="U45" s="314"/>
      <c r="V45" s="315"/>
      <c r="W45" s="314"/>
      <c r="X45" s="315"/>
      <c r="Y45" s="314"/>
      <c r="Z45" s="316"/>
    </row>
    <row r="46" spans="1:26">
      <c r="A46" s="995" t="s">
        <v>257</v>
      </c>
      <c r="B46" s="153" t="s">
        <v>527</v>
      </c>
      <c r="C46" s="537">
        <v>3</v>
      </c>
      <c r="D46" s="537">
        <v>3</v>
      </c>
      <c r="E46" s="537">
        <v>3</v>
      </c>
      <c r="F46" s="163"/>
      <c r="G46" s="153" t="s">
        <v>258</v>
      </c>
      <c r="I46" s="206"/>
      <c r="J46" s="153"/>
      <c r="K46" s="206"/>
      <c r="L46" s="153"/>
      <c r="M46" s="206"/>
      <c r="N46" s="153"/>
      <c r="O46" s="311"/>
      <c r="P46" s="537">
        <v>3</v>
      </c>
      <c r="Q46" s="163"/>
      <c r="R46" s="153" t="s">
        <v>258</v>
      </c>
      <c r="T46" s="206"/>
      <c r="U46" s="153"/>
      <c r="V46" s="206"/>
      <c r="W46" s="153"/>
      <c r="X46" s="206"/>
      <c r="Y46" s="153"/>
      <c r="Z46" s="311"/>
    </row>
    <row r="47" spans="1:26">
      <c r="A47" s="994"/>
      <c r="B47" s="314" t="s">
        <v>528</v>
      </c>
      <c r="C47" s="538">
        <v>50</v>
      </c>
      <c r="D47" s="538">
        <v>50</v>
      </c>
      <c r="E47" s="538">
        <v>50</v>
      </c>
      <c r="F47" s="488"/>
      <c r="G47" s="314"/>
      <c r="H47" s="314"/>
      <c r="I47" s="315"/>
      <c r="J47" s="314"/>
      <c r="K47" s="315"/>
      <c r="L47" s="314"/>
      <c r="M47" s="315"/>
      <c r="N47" s="314"/>
      <c r="O47" s="316"/>
      <c r="P47" s="538">
        <v>50</v>
      </c>
      <c r="Q47" s="488"/>
      <c r="R47" s="314"/>
      <c r="S47" s="314"/>
      <c r="T47" s="315"/>
      <c r="U47" s="314"/>
      <c r="V47" s="315"/>
      <c r="W47" s="314"/>
      <c r="X47" s="315"/>
      <c r="Y47" s="314"/>
      <c r="Z47" s="316"/>
    </row>
    <row r="48" spans="1:26" ht="15" thickBot="1">
      <c r="A48" s="342" t="s">
        <v>248</v>
      </c>
      <c r="B48" s="340" t="s">
        <v>260</v>
      </c>
      <c r="C48" s="541">
        <f>+C45*C46*C47</f>
        <v>2250</v>
      </c>
      <c r="D48" s="541">
        <f>+D45*D46*D47</f>
        <v>2250</v>
      </c>
      <c r="E48" s="541">
        <f>+E45*E46*E47</f>
        <v>2250</v>
      </c>
      <c r="F48" s="489"/>
      <c r="G48" s="206"/>
      <c r="H48" s="206"/>
      <c r="I48" s="206"/>
      <c r="J48" s="206"/>
      <c r="K48" s="206"/>
      <c r="L48" s="206"/>
      <c r="M48" s="206"/>
      <c r="N48" s="206"/>
      <c r="O48" s="341"/>
      <c r="P48" s="541">
        <f>+P45*P46*P47</f>
        <v>2250</v>
      </c>
      <c r="Q48" s="489"/>
      <c r="R48" s="206"/>
      <c r="S48" s="206"/>
      <c r="T48" s="206"/>
      <c r="U48" s="206"/>
      <c r="V48" s="206"/>
      <c r="W48" s="206"/>
      <c r="X48" s="206"/>
      <c r="Y48" s="206"/>
      <c r="Z48" s="341"/>
    </row>
    <row r="49" spans="1:26" ht="15" customHeight="1">
      <c r="A49" s="1006" t="s">
        <v>257</v>
      </c>
      <c r="B49" s="343" t="s">
        <v>262</v>
      </c>
      <c r="C49" s="542">
        <v>2</v>
      </c>
      <c r="D49" s="542">
        <v>2</v>
      </c>
      <c r="E49" s="542">
        <v>2</v>
      </c>
      <c r="F49" s="490"/>
      <c r="G49" s="343" t="s">
        <v>258</v>
      </c>
      <c r="H49" s="343"/>
      <c r="I49" s="344"/>
      <c r="J49" s="343"/>
      <c r="K49" s="344"/>
      <c r="L49" s="343"/>
      <c r="M49" s="344"/>
      <c r="N49" s="343"/>
      <c r="O49" s="345"/>
      <c r="P49" s="542">
        <v>2</v>
      </c>
      <c r="Q49" s="490"/>
      <c r="R49" s="343" t="s">
        <v>258</v>
      </c>
      <c r="S49" s="343"/>
      <c r="T49" s="344"/>
      <c r="U49" s="343"/>
      <c r="V49" s="344"/>
      <c r="W49" s="343"/>
      <c r="X49" s="344"/>
      <c r="Y49" s="343"/>
      <c r="Z49" s="345"/>
    </row>
    <row r="50" spans="1:26" ht="15" customHeight="1">
      <c r="A50" s="994"/>
      <c r="B50" s="314" t="s">
        <v>261</v>
      </c>
      <c r="C50" s="538">
        <v>25</v>
      </c>
      <c r="D50" s="538">
        <v>25</v>
      </c>
      <c r="E50" s="538">
        <v>25</v>
      </c>
      <c r="F50" s="488"/>
      <c r="G50" s="314"/>
      <c r="H50" s="314"/>
      <c r="I50" s="315"/>
      <c r="J50" s="314"/>
      <c r="K50" s="315"/>
      <c r="L50" s="314"/>
      <c r="M50" s="315"/>
      <c r="N50" s="314"/>
      <c r="O50" s="316"/>
      <c r="P50" s="538">
        <v>25</v>
      </c>
      <c r="Q50" s="488"/>
      <c r="R50" s="314"/>
      <c r="S50" s="314"/>
      <c r="T50" s="315"/>
      <c r="U50" s="314"/>
      <c r="V50" s="315"/>
      <c r="W50" s="314"/>
      <c r="X50" s="315"/>
      <c r="Y50" s="314"/>
      <c r="Z50" s="316"/>
    </row>
    <row r="51" spans="1:26" ht="15" thickBot="1">
      <c r="A51" s="346" t="s">
        <v>248</v>
      </c>
      <c r="B51" s="347" t="s">
        <v>263</v>
      </c>
      <c r="C51" s="543">
        <f>+C43*C49*C50</f>
        <v>750</v>
      </c>
      <c r="D51" s="543">
        <f>+D43*D49*D50</f>
        <v>750</v>
      </c>
      <c r="E51" s="543">
        <f>+E43*E49*E50</f>
        <v>750</v>
      </c>
      <c r="F51" s="491"/>
      <c r="G51" s="348"/>
      <c r="H51" s="348"/>
      <c r="I51" s="348"/>
      <c r="J51" s="348"/>
      <c r="K51" s="348"/>
      <c r="L51" s="348"/>
      <c r="M51" s="348"/>
      <c r="N51" s="348"/>
      <c r="O51" s="349"/>
      <c r="P51" s="543">
        <f>+P43*P49*P50</f>
        <v>750</v>
      </c>
      <c r="Q51" s="491"/>
      <c r="R51" s="348"/>
      <c r="S51" s="348"/>
      <c r="T51" s="348"/>
      <c r="U51" s="348"/>
      <c r="V51" s="348"/>
      <c r="W51" s="348"/>
      <c r="X51" s="348"/>
      <c r="Y51" s="348"/>
      <c r="Z51" s="349"/>
    </row>
    <row r="52" spans="1:26" ht="15" thickBot="1">
      <c r="A52" s="328" t="s">
        <v>248</v>
      </c>
      <c r="B52" s="320" t="s">
        <v>264</v>
      </c>
      <c r="C52" s="544">
        <f>+C48+C51</f>
        <v>3000</v>
      </c>
      <c r="D52" s="544">
        <f>+D48+D51</f>
        <v>3000</v>
      </c>
      <c r="E52" s="545">
        <f>+E48+E51</f>
        <v>3000</v>
      </c>
      <c r="F52" s="497"/>
      <c r="G52" s="453"/>
      <c r="H52" s="453"/>
      <c r="I52" s="453"/>
      <c r="J52" s="453"/>
      <c r="K52" s="453"/>
      <c r="L52" s="453"/>
      <c r="M52" s="453"/>
      <c r="N52" s="453"/>
      <c r="O52" s="494"/>
      <c r="P52" s="545">
        <f>+P48+P51</f>
        <v>3000</v>
      </c>
      <c r="Q52" s="497"/>
      <c r="R52" s="453"/>
      <c r="S52" s="453"/>
      <c r="T52" s="453"/>
      <c r="U52" s="453"/>
      <c r="V52" s="453"/>
      <c r="W52" s="453"/>
      <c r="X52" s="453"/>
      <c r="Y52" s="453"/>
      <c r="Z52" s="494"/>
    </row>
    <row r="53" spans="1:26" ht="15.5" thickTop="1" thickBot="1">
      <c r="A53" s="985" t="s">
        <v>225</v>
      </c>
      <c r="B53" s="986"/>
      <c r="C53" s="986"/>
      <c r="D53" s="986"/>
      <c r="E53" s="986"/>
      <c r="F53" s="986"/>
      <c r="G53" s="986"/>
      <c r="H53" s="986"/>
      <c r="I53" s="986"/>
      <c r="J53" s="986"/>
      <c r="K53" s="986"/>
      <c r="L53" s="986"/>
      <c r="M53" s="986"/>
      <c r="N53" s="986"/>
      <c r="O53" s="987"/>
    </row>
    <row r="54" spans="1:26" ht="15" customHeight="1" thickTop="1">
      <c r="A54" s="992" t="s">
        <v>584</v>
      </c>
      <c r="B54" s="322" t="s">
        <v>512</v>
      </c>
      <c r="C54" s="530">
        <f>+C14</f>
        <v>37</v>
      </c>
      <c r="D54" s="530">
        <f>+D14</f>
        <v>37</v>
      </c>
      <c r="E54" s="530">
        <f>+E14</f>
        <v>37</v>
      </c>
      <c r="F54" s="482"/>
      <c r="G54" s="322"/>
      <c r="H54" s="322" t="s">
        <v>259</v>
      </c>
      <c r="I54" s="323"/>
      <c r="J54" s="322"/>
      <c r="K54" s="323"/>
      <c r="L54" s="322"/>
      <c r="M54" s="323"/>
      <c r="N54" s="322"/>
      <c r="O54" s="324"/>
      <c r="P54" s="530">
        <f>+P14</f>
        <v>37</v>
      </c>
      <c r="Q54" s="482"/>
      <c r="R54" s="322"/>
      <c r="S54" s="322" t="s">
        <v>259</v>
      </c>
      <c r="T54" s="323"/>
      <c r="U54" s="322"/>
      <c r="V54" s="323"/>
      <c r="W54" s="322"/>
      <c r="X54" s="323"/>
      <c r="Y54" s="322"/>
      <c r="Z54" s="324"/>
    </row>
    <row r="55" spans="1:26">
      <c r="A55" s="993"/>
      <c r="B55" s="308" t="s">
        <v>513</v>
      </c>
      <c r="C55" s="531">
        <v>1</v>
      </c>
      <c r="D55" s="531">
        <v>1</v>
      </c>
      <c r="E55" s="531">
        <v>1</v>
      </c>
      <c r="F55" s="483"/>
      <c r="G55" s="308"/>
      <c r="H55" s="308"/>
      <c r="I55" s="185"/>
      <c r="J55" s="308"/>
      <c r="K55" s="185"/>
      <c r="L55" s="308"/>
      <c r="M55" s="185"/>
      <c r="N55" s="308"/>
      <c r="O55" s="312"/>
      <c r="P55" s="531">
        <v>1</v>
      </c>
      <c r="Q55" s="483"/>
      <c r="R55" s="308"/>
      <c r="S55" s="308"/>
      <c r="T55" s="185"/>
      <c r="U55" s="308"/>
      <c r="V55" s="185"/>
      <c r="W55" s="308"/>
      <c r="X55" s="185"/>
      <c r="Y55" s="308"/>
      <c r="Z55" s="312"/>
    </row>
    <row r="56" spans="1:26">
      <c r="A56" s="994"/>
      <c r="B56" s="314" t="s">
        <v>526</v>
      </c>
      <c r="C56" s="532">
        <f>+C54*C55</f>
        <v>37</v>
      </c>
      <c r="D56" s="532">
        <f>+D54*D55</f>
        <v>37</v>
      </c>
      <c r="E56" s="532">
        <f>+E54*E55</f>
        <v>37</v>
      </c>
      <c r="F56" s="484"/>
      <c r="G56" s="314"/>
      <c r="H56" s="314"/>
      <c r="I56" s="315"/>
      <c r="J56" s="314"/>
      <c r="K56" s="315"/>
      <c r="L56" s="314"/>
      <c r="M56" s="315"/>
      <c r="N56" s="314"/>
      <c r="O56" s="316"/>
      <c r="P56" s="532">
        <f>+P54*P55</f>
        <v>37</v>
      </c>
      <c r="Q56" s="484"/>
      <c r="R56" s="314"/>
      <c r="S56" s="314"/>
      <c r="T56" s="315"/>
      <c r="U56" s="314"/>
      <c r="V56" s="315"/>
      <c r="W56" s="314"/>
      <c r="X56" s="315"/>
      <c r="Y56" s="314"/>
      <c r="Z56" s="316"/>
    </row>
    <row r="57" spans="1:26">
      <c r="A57" s="995" t="s">
        <v>257</v>
      </c>
      <c r="B57" s="153" t="s">
        <v>529</v>
      </c>
      <c r="C57" s="537">
        <v>1</v>
      </c>
      <c r="D57" s="537">
        <v>1</v>
      </c>
      <c r="E57" s="537">
        <v>1</v>
      </c>
      <c r="F57" s="163"/>
      <c r="G57" s="153"/>
      <c r="H57" s="153"/>
      <c r="I57" s="206"/>
      <c r="J57" s="153"/>
      <c r="K57" s="206"/>
      <c r="L57" s="153"/>
      <c r="M57" s="206"/>
      <c r="N57" s="153"/>
      <c r="O57" s="311"/>
      <c r="P57" s="537">
        <v>1</v>
      </c>
      <c r="Q57" s="163"/>
      <c r="R57" s="153"/>
      <c r="S57" s="153"/>
      <c r="T57" s="206"/>
      <c r="U57" s="153"/>
      <c r="V57" s="206"/>
      <c r="W57" s="153"/>
      <c r="X57" s="206"/>
      <c r="Y57" s="153"/>
      <c r="Z57" s="311"/>
    </row>
    <row r="58" spans="1:26">
      <c r="A58" s="994"/>
      <c r="B58" s="314" t="s">
        <v>528</v>
      </c>
      <c r="C58" s="538">
        <v>25</v>
      </c>
      <c r="D58" s="538">
        <v>25</v>
      </c>
      <c r="E58" s="538">
        <v>25</v>
      </c>
      <c r="F58" s="488"/>
      <c r="G58" s="314"/>
      <c r="H58" s="314"/>
      <c r="I58" s="315"/>
      <c r="J58" s="314"/>
      <c r="K58" s="315"/>
      <c r="L58" s="314"/>
      <c r="M58" s="315"/>
      <c r="N58" s="314"/>
      <c r="O58" s="316"/>
      <c r="P58" s="538">
        <v>25</v>
      </c>
      <c r="Q58" s="488"/>
      <c r="R58" s="314"/>
      <c r="S58" s="314"/>
      <c r="T58" s="315"/>
      <c r="U58" s="314"/>
      <c r="V58" s="315"/>
      <c r="W58" s="314"/>
      <c r="X58" s="315"/>
      <c r="Y58" s="314"/>
      <c r="Z58" s="316"/>
    </row>
    <row r="59" spans="1:26" ht="15" thickBot="1">
      <c r="A59" s="328" t="s">
        <v>248</v>
      </c>
      <c r="B59" s="505" t="s">
        <v>480</v>
      </c>
      <c r="C59" s="539">
        <f>+C56*C57*C58</f>
        <v>925</v>
      </c>
      <c r="D59" s="539">
        <f>+D56*D57*D58</f>
        <v>925</v>
      </c>
      <c r="E59" s="540">
        <f>+E56*E57*E58</f>
        <v>925</v>
      </c>
      <c r="F59" s="496"/>
      <c r="G59" s="495"/>
      <c r="H59" s="495"/>
      <c r="I59" s="495"/>
      <c r="J59" s="495"/>
      <c r="K59" s="495"/>
      <c r="L59" s="495"/>
      <c r="M59" s="495"/>
      <c r="N59" s="495"/>
      <c r="O59" s="498"/>
      <c r="P59" s="540">
        <f>+P56*P57*P58</f>
        <v>925</v>
      </c>
      <c r="Q59" s="496"/>
      <c r="R59" s="495"/>
      <c r="S59" s="495"/>
      <c r="T59" s="495"/>
      <c r="U59" s="495"/>
      <c r="V59" s="495"/>
      <c r="W59" s="495"/>
      <c r="X59" s="495"/>
      <c r="Y59" s="495"/>
      <c r="Z59" s="498"/>
    </row>
    <row r="60" spans="1:26" ht="15.5" thickTop="1" thickBot="1">
      <c r="C60" s="309"/>
      <c r="D60" s="309"/>
      <c r="E60" s="309"/>
      <c r="F60" s="499"/>
      <c r="G60" s="204"/>
      <c r="H60" s="204"/>
      <c r="I60" s="204"/>
      <c r="J60" s="204"/>
      <c r="K60" s="204"/>
      <c r="L60" s="204"/>
      <c r="M60" s="204"/>
      <c r="N60" s="204"/>
      <c r="O60" s="204"/>
      <c r="P60" s="309"/>
      <c r="Q60" s="499"/>
      <c r="R60" s="204"/>
      <c r="S60" s="204"/>
      <c r="T60" s="204"/>
      <c r="U60" s="204"/>
      <c r="V60" s="204"/>
      <c r="W60" s="204"/>
      <c r="X60" s="204"/>
      <c r="Y60" s="204"/>
      <c r="Z60" s="204"/>
    </row>
    <row r="61" spans="1:26" ht="15.5" thickTop="1" thickBot="1">
      <c r="A61" s="985" t="s">
        <v>316</v>
      </c>
      <c r="B61" s="986"/>
      <c r="C61" s="546">
        <f>+C12+C29+C41+C52+C59</f>
        <v>23565</v>
      </c>
      <c r="D61" s="846">
        <f>+D12+D29+D41+D52+D59</f>
        <v>24160</v>
      </c>
      <c r="E61" s="847">
        <f>+E12+E29+E41+E52+E59</f>
        <v>24191</v>
      </c>
      <c r="F61" s="501"/>
      <c r="G61" s="185"/>
      <c r="H61" s="185"/>
      <c r="I61" s="185"/>
      <c r="J61" s="185"/>
      <c r="K61" s="185"/>
      <c r="L61" s="185"/>
      <c r="M61" s="185"/>
      <c r="N61" s="185"/>
      <c r="O61" s="185"/>
      <c r="P61" s="845">
        <f>+P12+P29+P41+P52+P59</f>
        <v>26228</v>
      </c>
      <c r="Q61" s="501"/>
      <c r="R61" s="185"/>
      <c r="S61" s="185"/>
      <c r="T61" s="185"/>
      <c r="U61" s="185"/>
      <c r="V61" s="185"/>
      <c r="W61" s="185"/>
      <c r="X61" s="185"/>
      <c r="Y61" s="185"/>
      <c r="Z61" s="185"/>
    </row>
    <row r="62" spans="1:26" ht="15" thickTop="1">
      <c r="A62" s="988" t="s">
        <v>317</v>
      </c>
      <c r="B62" s="989"/>
      <c r="C62" s="452"/>
      <c r="D62" s="452"/>
      <c r="E62" s="848">
        <f>+E61-D61</f>
        <v>31</v>
      </c>
      <c r="F62" s="501"/>
      <c r="G62" s="185"/>
      <c r="H62" s="185"/>
      <c r="I62" s="185"/>
      <c r="J62" s="185"/>
      <c r="K62" s="185"/>
      <c r="L62" s="185"/>
      <c r="M62" s="185"/>
      <c r="N62" s="185"/>
      <c r="O62" s="185"/>
      <c r="P62" s="843">
        <f>+P61-E61</f>
        <v>2037</v>
      </c>
      <c r="Q62" s="501"/>
      <c r="R62" s="185"/>
      <c r="S62" s="185"/>
      <c r="T62" s="185"/>
      <c r="U62" s="185"/>
      <c r="V62" s="185"/>
      <c r="W62" s="185"/>
      <c r="X62" s="185"/>
      <c r="Y62" s="185"/>
      <c r="Z62" s="185"/>
    </row>
    <row r="63" spans="1:26" ht="15" thickBot="1">
      <c r="A63" s="990"/>
      <c r="B63" s="991"/>
      <c r="C63" s="497"/>
      <c r="D63" s="497"/>
      <c r="E63" s="849">
        <f>+E62/D61</f>
        <v>1.2831125827814569E-3</v>
      </c>
      <c r="F63" s="502"/>
      <c r="G63" s="185"/>
      <c r="H63" s="185"/>
      <c r="I63" s="185"/>
      <c r="J63" s="185"/>
      <c r="K63" s="185"/>
      <c r="L63" s="185"/>
      <c r="M63" s="185"/>
      <c r="N63" s="185"/>
      <c r="O63" s="185"/>
      <c r="P63" s="844">
        <f>+P62/E61</f>
        <v>8.420486957959572E-2</v>
      </c>
      <c r="Q63" s="502"/>
      <c r="R63" s="185"/>
      <c r="S63" s="185"/>
      <c r="T63" s="185"/>
      <c r="U63" s="185"/>
      <c r="V63" s="185"/>
      <c r="W63" s="185"/>
      <c r="X63" s="185"/>
      <c r="Y63" s="185"/>
      <c r="Z63" s="185"/>
    </row>
    <row r="64" spans="1:26" ht="15" thickTop="1">
      <c r="F64" s="308"/>
      <c r="G64" s="308"/>
      <c r="H64" s="308"/>
      <c r="I64" s="185"/>
      <c r="J64" s="308"/>
      <c r="K64" s="185"/>
      <c r="L64" s="308"/>
      <c r="M64" s="185"/>
      <c r="N64" s="308"/>
      <c r="O64" s="308"/>
      <c r="Q64" s="308"/>
      <c r="R64" s="308"/>
      <c r="S64" s="308"/>
      <c r="T64" s="185"/>
      <c r="U64" s="308"/>
      <c r="V64" s="185"/>
      <c r="W64" s="308"/>
      <c r="X64" s="185"/>
      <c r="Y64" s="308"/>
      <c r="Z64" s="308"/>
    </row>
    <row r="65" spans="4:24">
      <c r="D65" s="147"/>
      <c r="I65" s="204"/>
      <c r="K65" s="204"/>
      <c r="M65" s="204"/>
      <c r="T65" s="204"/>
      <c r="V65" s="204"/>
      <c r="X65" s="204"/>
    </row>
    <row r="66" spans="4:24">
      <c r="I66" s="204"/>
      <c r="K66" s="204"/>
      <c r="M66" s="204"/>
      <c r="T66" s="204"/>
      <c r="V66" s="204"/>
      <c r="X66" s="204"/>
    </row>
    <row r="67" spans="4:24">
      <c r="I67" s="204"/>
      <c r="K67" s="204"/>
      <c r="M67" s="204"/>
      <c r="T67" s="204"/>
      <c r="V67" s="204"/>
      <c r="X67" s="204"/>
    </row>
    <row r="68" spans="4:24">
      <c r="I68" s="204"/>
      <c r="K68" s="204"/>
      <c r="M68" s="204"/>
      <c r="T68" s="204"/>
      <c r="V68" s="204"/>
      <c r="X68" s="204"/>
    </row>
    <row r="69" spans="4:24">
      <c r="I69" s="204"/>
      <c r="K69" s="204"/>
      <c r="M69" s="204"/>
      <c r="T69" s="204"/>
      <c r="V69" s="204"/>
      <c r="X69" s="204"/>
    </row>
    <row r="70" spans="4:24">
      <c r="I70" s="204"/>
      <c r="K70" s="204"/>
      <c r="M70" s="204"/>
      <c r="T70" s="204"/>
      <c r="V70" s="204"/>
      <c r="X70" s="204"/>
    </row>
    <row r="71" spans="4:24">
      <c r="I71" s="204"/>
      <c r="K71" s="204"/>
      <c r="M71" s="204"/>
      <c r="T71" s="204"/>
      <c r="V71" s="204"/>
      <c r="X71" s="204"/>
    </row>
    <row r="72" spans="4:24">
      <c r="I72" s="204"/>
      <c r="K72" s="204"/>
      <c r="M72" s="204"/>
      <c r="T72" s="204"/>
      <c r="V72" s="204"/>
      <c r="X72" s="204"/>
    </row>
    <row r="73" spans="4:24">
      <c r="I73" s="204"/>
      <c r="K73" s="204"/>
      <c r="M73" s="204"/>
      <c r="T73" s="204"/>
      <c r="V73" s="204"/>
      <c r="X73" s="204"/>
    </row>
    <row r="74" spans="4:24">
      <c r="I74" s="204"/>
      <c r="K74" s="204"/>
      <c r="M74" s="204"/>
      <c r="T74" s="204"/>
      <c r="V74" s="204"/>
      <c r="X74" s="204"/>
    </row>
    <row r="75" spans="4:24">
      <c r="I75" s="204"/>
      <c r="K75" s="204"/>
      <c r="M75" s="204"/>
      <c r="T75" s="204"/>
      <c r="V75" s="204"/>
      <c r="X75" s="204"/>
    </row>
    <row r="76" spans="4:24">
      <c r="I76" s="204"/>
      <c r="K76" s="204"/>
      <c r="M76" s="204"/>
      <c r="T76" s="204"/>
      <c r="V76" s="204"/>
      <c r="X76" s="204"/>
    </row>
    <row r="77" spans="4:24">
      <c r="I77" s="204"/>
      <c r="K77" s="204"/>
      <c r="M77" s="204"/>
      <c r="T77" s="204"/>
      <c r="V77" s="204"/>
      <c r="X77" s="204"/>
    </row>
    <row r="78" spans="4:24">
      <c r="I78" s="204"/>
      <c r="K78" s="204"/>
      <c r="M78" s="204"/>
      <c r="T78" s="204"/>
      <c r="V78" s="204"/>
      <c r="X78" s="204"/>
    </row>
    <row r="79" spans="4:24">
      <c r="I79" s="204"/>
      <c r="K79" s="204"/>
      <c r="M79" s="204"/>
      <c r="T79" s="204"/>
      <c r="V79" s="204"/>
      <c r="X79" s="204"/>
    </row>
  </sheetData>
  <mergeCells count="27">
    <mergeCell ref="A1:Z1"/>
    <mergeCell ref="A62:B63"/>
    <mergeCell ref="A54:A56"/>
    <mergeCell ref="A57:A58"/>
    <mergeCell ref="A61:B61"/>
    <mergeCell ref="A14:A22"/>
    <mergeCell ref="A23:A26"/>
    <mergeCell ref="A27:A29"/>
    <mergeCell ref="A31:A38"/>
    <mergeCell ref="A39:A40"/>
    <mergeCell ref="A49:A50"/>
    <mergeCell ref="A30:O30"/>
    <mergeCell ref="A42:O42"/>
    <mergeCell ref="A53:O53"/>
    <mergeCell ref="A43:A45"/>
    <mergeCell ref="A46:A47"/>
    <mergeCell ref="G43:O44"/>
    <mergeCell ref="Q3:Z3"/>
    <mergeCell ref="R12:Z12"/>
    <mergeCell ref="R14:Z15"/>
    <mergeCell ref="S41:Z41"/>
    <mergeCell ref="R43:Z44"/>
    <mergeCell ref="H41:O41"/>
    <mergeCell ref="A13:O13"/>
    <mergeCell ref="F3:O3"/>
    <mergeCell ref="G12:O12"/>
    <mergeCell ref="G14:O15"/>
  </mergeCells>
  <printOptions horizontalCentered="1" verticalCentered="1"/>
  <pageMargins left="0.2" right="0.2" top="0.25" bottom="0.25" header="0.3" footer="0.3"/>
  <pageSetup scale="75" orientation="portrait" horizontalDpi="4294967293" verticalDpi="0" r:id="rId1"/>
  <headerFooter>
    <oddFooter>&amp;R&amp;D</oddFooter>
  </headerFooter>
  <legacyDrawing r:id="rId2"/>
</worksheet>
</file>

<file path=xl/worksheets/sheet13.xml><?xml version="1.0" encoding="utf-8"?>
<worksheet xmlns="http://schemas.openxmlformats.org/spreadsheetml/2006/main" xmlns:r="http://schemas.openxmlformats.org/officeDocument/2006/relationships">
  <sheetPr>
    <pageSetUpPr fitToPage="1"/>
  </sheetPr>
  <dimension ref="A1:G58"/>
  <sheetViews>
    <sheetView showGridLines="0" workbookViewId="0">
      <selection activeCell="D19" sqref="D19:E19"/>
    </sheetView>
  </sheetViews>
  <sheetFormatPr defaultRowHeight="15.5"/>
  <cols>
    <col min="1" max="1" width="1.7265625" style="352" customWidth="1"/>
    <col min="2" max="2" width="43.54296875" style="352" customWidth="1"/>
    <col min="3" max="3" width="10.26953125" style="384" customWidth="1"/>
    <col min="4" max="4" width="58.90625" style="352" customWidth="1"/>
    <col min="5" max="5" width="9.7265625" style="352" bestFit="1" customWidth="1"/>
    <col min="6" max="16384" width="8.7265625" style="352"/>
  </cols>
  <sheetData>
    <row r="1" spans="1:5" ht="20">
      <c r="A1" s="911" t="s">
        <v>87</v>
      </c>
      <c r="B1" s="911"/>
      <c r="C1" s="911"/>
      <c r="D1" s="911"/>
      <c r="E1" s="911"/>
    </row>
    <row r="2" spans="1:5" ht="18.5" customHeight="1">
      <c r="A2" s="912" t="s">
        <v>506</v>
      </c>
      <c r="B2" s="912"/>
      <c r="C2" s="912"/>
      <c r="D2" s="912"/>
      <c r="E2" s="912"/>
    </row>
    <row r="3" spans="1:5" ht="18.5" customHeight="1" thickBot="1">
      <c r="A3" s="561"/>
      <c r="B3" s="561"/>
      <c r="C3" s="561"/>
      <c r="D3" s="561"/>
      <c r="E3" s="561"/>
    </row>
    <row r="4" spans="1:5" ht="30" customHeight="1" thickBot="1">
      <c r="A4" s="561"/>
      <c r="B4" s="1007" t="s">
        <v>355</v>
      </c>
      <c r="C4" s="1008"/>
      <c r="D4" s="1008"/>
      <c r="E4" s="1009"/>
    </row>
    <row r="5" spans="1:5">
      <c r="B5" s="562" t="s">
        <v>425</v>
      </c>
      <c r="C5" s="563">
        <f>+'New Year-Full Year'!P102+'New Year-Full Year'!P105</f>
        <v>84504</v>
      </c>
      <c r="D5" s="1010" t="str">
        <f>+"Annually  ($"&amp;'New Year-Full Year'!P102-22000&amp;" salary, $22000 housing, and $"&amp;'New Year-Full Year'!P105&amp;" FICA Tax)"</f>
        <v>Annually  ($56499 salary, $22000 housing, and $6005 FICA Tax)</v>
      </c>
      <c r="E5" s="1011"/>
    </row>
    <row r="6" spans="1:5" ht="16" thickBot="1">
      <c r="B6" s="565" t="s">
        <v>353</v>
      </c>
      <c r="C6" s="564">
        <f>+'New Year-Full Year'!P107</f>
        <v>19013</v>
      </c>
      <c r="D6" s="1012" t="str">
        <f>"Annually (the Portico % to use is "&amp;Pastor!Q41*100&amp;"%)"</f>
        <v>Annually (the Portico % to use is 22.5%)</v>
      </c>
      <c r="E6" s="1013"/>
    </row>
    <row r="7" spans="1:5">
      <c r="B7" s="562" t="s">
        <v>426</v>
      </c>
      <c r="C7" s="563">
        <f>+'New Year-Full Year'!P116+'New Year-Full Year'!P118</f>
        <v>72075</v>
      </c>
      <c r="D7" s="1010" t="str">
        <f>+"Annually  ($"&amp;'New Year-Full Year'!P116-20000&amp;" salary, $20000 housing, and $"&amp;'New Year-Full Year'!P118&amp;" FICA Tax)"</f>
        <v>Annually  ($46953 salary, $20000 housing, and $5122 FICA Tax)</v>
      </c>
      <c r="E7" s="1011"/>
    </row>
    <row r="8" spans="1:5" ht="16" thickBot="1">
      <c r="B8" s="565" t="s">
        <v>353</v>
      </c>
      <c r="C8" s="564">
        <f>+'New Year-Full Year'!P119</f>
        <v>11532</v>
      </c>
      <c r="D8" s="1012" t="str">
        <f>"Annually (the Portico % to use is "&amp;'Assoc. Pastor'!E37*100&amp;"%)"</f>
        <v>Annually (the Portico % to use is 16%)</v>
      </c>
      <c r="E8" s="1013"/>
    </row>
    <row r="9" spans="1:5" ht="18.5" customHeight="1" thickBot="1">
      <c r="A9" s="561"/>
      <c r="B9" s="561"/>
      <c r="C9" s="561"/>
      <c r="D9" s="561"/>
      <c r="E9" s="561"/>
    </row>
    <row r="10" spans="1:5" ht="30" customHeight="1" thickBot="1">
      <c r="A10" s="360"/>
      <c r="B10" s="378" t="s">
        <v>275</v>
      </c>
      <c r="C10" s="379" t="s">
        <v>276</v>
      </c>
      <c r="D10" s="360"/>
      <c r="E10" s="702"/>
    </row>
    <row r="11" spans="1:5" ht="18.5" customHeight="1">
      <c r="A11" s="360"/>
      <c r="B11" s="374" t="s">
        <v>354</v>
      </c>
      <c r="C11" s="375">
        <f>+'New Year-Full Year'!F129</f>
        <v>10</v>
      </c>
      <c r="D11" s="360"/>
      <c r="E11" s="360"/>
    </row>
    <row r="12" spans="1:5" ht="18.5" customHeight="1">
      <c r="A12" s="360"/>
      <c r="B12" s="374" t="s">
        <v>350</v>
      </c>
      <c r="C12" s="375">
        <f>+'New Year-Full Year'!F148</f>
        <v>19.440000000000001</v>
      </c>
      <c r="D12" s="703"/>
      <c r="E12" s="360"/>
    </row>
    <row r="13" spans="1:5" ht="18.5" customHeight="1">
      <c r="A13" s="360"/>
      <c r="B13" s="374" t="s">
        <v>351</v>
      </c>
      <c r="C13" s="375">
        <f>+'New Year-Full Year'!F152</f>
        <v>11.86</v>
      </c>
      <c r="D13" s="360"/>
      <c r="E13" s="360"/>
    </row>
    <row r="14" spans="1:5" ht="18.5" customHeight="1">
      <c r="A14" s="360"/>
      <c r="B14" s="374" t="s">
        <v>479</v>
      </c>
      <c r="C14" s="375">
        <f>+'New Year-Full Year'!F153</f>
        <v>13</v>
      </c>
      <c r="D14" s="360"/>
      <c r="E14" s="360"/>
    </row>
    <row r="15" spans="1:5" ht="4" customHeight="1" thickBot="1">
      <c r="A15" s="360"/>
      <c r="B15" s="376"/>
      <c r="C15" s="377"/>
      <c r="D15" s="360"/>
      <c r="E15" s="360"/>
    </row>
    <row r="16" spans="1:5" ht="8" customHeight="1">
      <c r="A16" s="360"/>
      <c r="B16" s="360"/>
      <c r="C16" s="360"/>
      <c r="D16" s="360"/>
      <c r="E16" s="360"/>
    </row>
    <row r="17" spans="1:7" ht="18.5" customHeight="1" thickBot="1">
      <c r="A17" s="360"/>
      <c r="B17" s="351" t="s">
        <v>274</v>
      </c>
      <c r="C17" s="360"/>
      <c r="D17" s="360"/>
      <c r="E17" s="360"/>
    </row>
    <row r="18" spans="1:7" ht="16" thickBot="1">
      <c r="A18" s="353"/>
      <c r="B18" s="365" t="s">
        <v>278</v>
      </c>
      <c r="C18" s="381"/>
      <c r="D18" s="1021" t="s">
        <v>277</v>
      </c>
      <c r="E18" s="1022"/>
    </row>
    <row r="19" spans="1:7" ht="52" customHeight="1" thickBot="1">
      <c r="B19" s="380" t="s">
        <v>224</v>
      </c>
      <c r="C19" s="433">
        <f>+'Band and Other Music'!P12</f>
        <v>3168</v>
      </c>
      <c r="D19" s="1019" t="s">
        <v>591</v>
      </c>
      <c r="E19" s="1020"/>
    </row>
    <row r="20" spans="1:7" ht="33" customHeight="1" thickBot="1">
      <c r="B20" s="380" t="s">
        <v>109</v>
      </c>
      <c r="C20" s="433">
        <f>+'New Year-Full Year'!P133</f>
        <v>16795</v>
      </c>
      <c r="D20" s="1019" t="s">
        <v>194</v>
      </c>
      <c r="E20" s="1020"/>
    </row>
    <row r="21" spans="1:7" ht="33" customHeight="1" thickBot="1">
      <c r="B21" s="380" t="s">
        <v>352</v>
      </c>
      <c r="C21" s="433">
        <f>+'New Year-Full Year'!P141</f>
        <v>3000</v>
      </c>
      <c r="D21" s="1019" t="s">
        <v>194</v>
      </c>
      <c r="E21" s="1020"/>
    </row>
    <row r="22" spans="1:7" ht="16" thickBot="1">
      <c r="A22" s="361"/>
      <c r="B22" s="354"/>
      <c r="C22" s="382"/>
      <c r="D22" s="354"/>
    </row>
    <row r="23" spans="1:7" ht="16" thickBot="1">
      <c r="A23" s="355"/>
      <c r="B23" s="365" t="s">
        <v>249</v>
      </c>
      <c r="C23" s="381"/>
      <c r="D23" s="366"/>
      <c r="E23" s="367"/>
    </row>
    <row r="24" spans="1:7">
      <c r="A24" s="1014"/>
      <c r="B24" s="362" t="s">
        <v>585</v>
      </c>
      <c r="C24" s="434">
        <f>+'Band and Other Music'!P23</f>
        <v>5</v>
      </c>
      <c r="D24" s="1015" t="s">
        <v>546</v>
      </c>
      <c r="E24" s="1016"/>
    </row>
    <row r="25" spans="1:7">
      <c r="A25" s="1014"/>
      <c r="B25" s="362" t="s">
        <v>586</v>
      </c>
      <c r="C25" s="434">
        <f>+'Band and Other Music'!P24</f>
        <v>3</v>
      </c>
      <c r="D25" s="1015"/>
      <c r="E25" s="1016"/>
    </row>
    <row r="26" spans="1:7">
      <c r="A26" s="1014"/>
      <c r="B26" s="362" t="s">
        <v>521</v>
      </c>
      <c r="C26" s="435">
        <f>+'Band and Other Music'!P25</f>
        <v>25</v>
      </c>
      <c r="D26" s="1015"/>
      <c r="E26" s="1016"/>
      <c r="G26" s="356"/>
    </row>
    <row r="27" spans="1:7" ht="16" thickBot="1">
      <c r="A27" s="1014"/>
      <c r="B27" s="363" t="s">
        <v>521</v>
      </c>
      <c r="C27" s="436">
        <f>+'Band and Other Music'!P26</f>
        <v>35</v>
      </c>
      <c r="D27" s="1017"/>
      <c r="E27" s="1018"/>
    </row>
    <row r="28" spans="1:7" ht="16" thickBot="1">
      <c r="A28" s="355"/>
    </row>
    <row r="29" spans="1:7" ht="16" thickBot="1">
      <c r="A29" s="355"/>
      <c r="B29" s="365" t="s">
        <v>545</v>
      </c>
      <c r="C29" s="381"/>
      <c r="D29" s="366"/>
      <c r="E29" s="367"/>
    </row>
    <row r="30" spans="1:7">
      <c r="A30" s="1014"/>
      <c r="B30" s="362" t="s">
        <v>587</v>
      </c>
      <c r="C30" s="434">
        <f>+'Band and Other Music'!P39</f>
        <v>2</v>
      </c>
      <c r="D30" s="1015" t="s">
        <v>273</v>
      </c>
      <c r="E30" s="1016"/>
    </row>
    <row r="31" spans="1:7" ht="16" thickBot="1">
      <c r="A31" s="1014"/>
      <c r="B31" s="363" t="s">
        <v>588</v>
      </c>
      <c r="C31" s="436">
        <f>+'Band and Other Music'!P40</f>
        <v>25</v>
      </c>
      <c r="D31" s="1017"/>
      <c r="E31" s="1018"/>
    </row>
    <row r="32" spans="1:7" ht="16" thickBot="1">
      <c r="A32" s="355"/>
    </row>
    <row r="33" spans="1:5" ht="16" thickBot="1">
      <c r="A33" s="355"/>
      <c r="B33" s="365" t="s">
        <v>268</v>
      </c>
      <c r="C33" s="381"/>
      <c r="D33" s="366"/>
      <c r="E33" s="367"/>
    </row>
    <row r="34" spans="1:5">
      <c r="A34" s="1014"/>
      <c r="B34" s="362" t="s">
        <v>589</v>
      </c>
      <c r="C34" s="434">
        <f>+'Band and Other Music'!P46</f>
        <v>3</v>
      </c>
      <c r="D34" s="355" t="s">
        <v>258</v>
      </c>
      <c r="E34" s="368"/>
    </row>
    <row r="35" spans="1:5" ht="16" thickBot="1">
      <c r="A35" s="1014"/>
      <c r="B35" s="370" t="s">
        <v>528</v>
      </c>
      <c r="C35" s="437">
        <f>+'Band and Other Music'!P47</f>
        <v>50</v>
      </c>
      <c r="D35" s="357"/>
      <c r="E35" s="371"/>
    </row>
    <row r="36" spans="1:5" ht="15" customHeight="1">
      <c r="A36" s="1014"/>
      <c r="B36" s="372" t="s">
        <v>279</v>
      </c>
      <c r="C36" s="438">
        <f>+'Band and Other Music'!P49</f>
        <v>2</v>
      </c>
      <c r="D36" s="358" t="s">
        <v>258</v>
      </c>
      <c r="E36" s="373"/>
    </row>
    <row r="37" spans="1:5" ht="15" customHeight="1" thickBot="1">
      <c r="A37" s="1014"/>
      <c r="B37" s="363" t="s">
        <v>261</v>
      </c>
      <c r="C37" s="436">
        <f>+'Band and Other Music'!P50</f>
        <v>25</v>
      </c>
      <c r="D37" s="364"/>
      <c r="E37" s="369"/>
    </row>
    <row r="38" spans="1:5" ht="16" thickBot="1">
      <c r="A38" s="359"/>
      <c r="B38" s="355"/>
      <c r="C38" s="383"/>
      <c r="D38" s="355"/>
      <c r="E38" s="355"/>
    </row>
    <row r="39" spans="1:5" ht="16" thickBot="1">
      <c r="A39" s="355"/>
      <c r="B39" s="365" t="s">
        <v>225</v>
      </c>
      <c r="C39" s="381"/>
      <c r="D39" s="366"/>
      <c r="E39" s="367"/>
    </row>
    <row r="40" spans="1:5">
      <c r="A40" s="1014"/>
      <c r="B40" s="362" t="s">
        <v>590</v>
      </c>
      <c r="C40" s="434">
        <f>+'Band and Other Music'!P57</f>
        <v>1</v>
      </c>
      <c r="D40" s="355"/>
      <c r="E40" s="368"/>
    </row>
    <row r="41" spans="1:5" ht="16" thickBot="1">
      <c r="A41" s="1014"/>
      <c r="B41" s="363" t="s">
        <v>528</v>
      </c>
      <c r="C41" s="436">
        <f>+'Band and Other Music'!P58</f>
        <v>25</v>
      </c>
      <c r="D41" s="364"/>
      <c r="E41" s="369"/>
    </row>
    <row r="42" spans="1:5">
      <c r="A42" s="355"/>
      <c r="C42" s="385"/>
    </row>
    <row r="43" spans="1:5">
      <c r="A43" s="355"/>
    </row>
    <row r="44" spans="1:5">
      <c r="A44" s="355"/>
    </row>
    <row r="45" spans="1:5">
      <c r="A45" s="355"/>
    </row>
    <row r="46" spans="1:5">
      <c r="A46" s="355"/>
    </row>
    <row r="47" spans="1:5">
      <c r="A47" s="355"/>
    </row>
    <row r="48" spans="1:5">
      <c r="A48" s="355"/>
    </row>
    <row r="49" spans="1:1">
      <c r="A49" s="355"/>
    </row>
    <row r="50" spans="1:1">
      <c r="A50" s="355"/>
    </row>
    <row r="51" spans="1:1">
      <c r="A51" s="355"/>
    </row>
    <row r="52" spans="1:1">
      <c r="A52" s="355"/>
    </row>
    <row r="53" spans="1:1">
      <c r="A53" s="355"/>
    </row>
    <row r="54" spans="1:1">
      <c r="A54" s="355"/>
    </row>
    <row r="55" spans="1:1">
      <c r="A55" s="355"/>
    </row>
    <row r="56" spans="1:1">
      <c r="A56" s="355"/>
    </row>
    <row r="57" spans="1:1">
      <c r="A57" s="355"/>
    </row>
    <row r="58" spans="1:1">
      <c r="A58" s="355"/>
    </row>
  </sheetData>
  <mergeCells count="18">
    <mergeCell ref="A40:A41"/>
    <mergeCell ref="D24:E27"/>
    <mergeCell ref="D30:E31"/>
    <mergeCell ref="D6:E6"/>
    <mergeCell ref="D5:E5"/>
    <mergeCell ref="A36:A37"/>
    <mergeCell ref="D20:E20"/>
    <mergeCell ref="D21:E21"/>
    <mergeCell ref="D19:E19"/>
    <mergeCell ref="A24:A27"/>
    <mergeCell ref="D18:E18"/>
    <mergeCell ref="A30:A31"/>
    <mergeCell ref="A34:A35"/>
    <mergeCell ref="B4:E4"/>
    <mergeCell ref="A1:E1"/>
    <mergeCell ref="A2:E2"/>
    <mergeCell ref="D7:E7"/>
    <mergeCell ref="D8:E8"/>
  </mergeCells>
  <printOptions horizontalCentered="1"/>
  <pageMargins left="0.2" right="0.2" top="0.25" bottom="0.25" header="0.3" footer="0.3"/>
  <pageSetup scale="83" orientation="portrait" horizontalDpi="4294967293" verticalDpi="0" r:id="rId1"/>
</worksheet>
</file>

<file path=xl/worksheets/sheet14.xml><?xml version="1.0" encoding="utf-8"?>
<worksheet xmlns="http://schemas.openxmlformats.org/spreadsheetml/2006/main" xmlns:r="http://schemas.openxmlformats.org/officeDocument/2006/relationships">
  <sheetPr>
    <tabColor theme="7" tint="-0.499984740745262"/>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F24" sqref="F24"/>
    </sheetView>
  </sheetViews>
  <sheetFormatPr defaultColWidth="9.08984375" defaultRowHeight="14.5"/>
  <cols>
    <col min="1" max="1" width="4.453125" style="43" hidden="1" customWidth="1"/>
    <col min="2" max="2" width="4.36328125" style="2" customWidth="1"/>
    <col min="3" max="3" width="9.08984375" style="1"/>
    <col min="4" max="4" width="24.81640625" style="50" customWidth="1"/>
    <col min="5" max="5" width="11.08984375" style="1" customWidth="1"/>
    <col min="6" max="9" width="14.6328125" style="1" customWidth="1"/>
    <col min="10" max="16384" width="9.08984375" style="1"/>
  </cols>
  <sheetData>
    <row r="1" spans="1:9" ht="41.25" customHeight="1">
      <c r="B1" s="392" t="s">
        <v>87</v>
      </c>
      <c r="C1" s="390"/>
      <c r="D1" s="390"/>
      <c r="E1" s="390"/>
    </row>
    <row r="2" spans="1:9" ht="23.25" customHeight="1">
      <c r="E2" s="391" t="s">
        <v>86</v>
      </c>
    </row>
    <row r="3" spans="1:9">
      <c r="E3" s="1023" t="s">
        <v>190</v>
      </c>
      <c r="F3" s="1025" t="s">
        <v>190</v>
      </c>
      <c r="G3" s="1026"/>
      <c r="H3" s="1026"/>
      <c r="I3" s="1027"/>
    </row>
    <row r="4" spans="1:9" s="2" customFormat="1">
      <c r="A4" s="44"/>
      <c r="D4" s="15"/>
      <c r="E4" s="1024"/>
      <c r="F4" s="386" t="s">
        <v>281</v>
      </c>
      <c r="G4" s="387" t="s">
        <v>282</v>
      </c>
      <c r="H4" s="387" t="s">
        <v>283</v>
      </c>
      <c r="I4" s="387" t="s">
        <v>284</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33" t="s">
        <v>84</v>
      </c>
      <c r="D11" s="245"/>
      <c r="E11" s="230">
        <v>2000</v>
      </c>
      <c r="G11" s="1">
        <v>2000</v>
      </c>
    </row>
    <row r="12" spans="1:9">
      <c r="A12" s="43">
        <v>31</v>
      </c>
      <c r="C12" s="238" t="s">
        <v>17</v>
      </c>
      <c r="D12" s="248"/>
      <c r="E12" s="235">
        <v>1000</v>
      </c>
      <c r="G12" s="1">
        <v>1000</v>
      </c>
    </row>
    <row r="13" spans="1:9">
      <c r="A13" s="43">
        <v>32</v>
      </c>
      <c r="C13" s="238" t="s">
        <v>187</v>
      </c>
      <c r="D13" s="248"/>
      <c r="E13" s="235">
        <v>1000</v>
      </c>
      <c r="G13" s="1">
        <v>1000</v>
      </c>
    </row>
    <row r="14" spans="1:9">
      <c r="A14" s="43">
        <v>33</v>
      </c>
      <c r="C14" s="238" t="s">
        <v>18</v>
      </c>
      <c r="D14" s="248"/>
      <c r="E14" s="235">
        <v>300</v>
      </c>
      <c r="G14" s="1">
        <v>300</v>
      </c>
    </row>
    <row r="15" spans="1:9" ht="14.5" customHeight="1">
      <c r="A15" s="43">
        <v>34</v>
      </c>
      <c r="C15" s="238" t="s">
        <v>19</v>
      </c>
      <c r="D15" s="248"/>
      <c r="E15" s="235">
        <v>200</v>
      </c>
      <c r="G15" s="1">
        <v>200</v>
      </c>
    </row>
    <row r="16" spans="1:9">
      <c r="C16" s="238" t="s">
        <v>108</v>
      </c>
      <c r="D16" s="248"/>
      <c r="E16" s="235">
        <v>750</v>
      </c>
      <c r="G16" s="1">
        <v>750</v>
      </c>
    </row>
    <row r="17" spans="1:7" ht="14.4" customHeight="1">
      <c r="A17" s="43">
        <v>35</v>
      </c>
      <c r="C17" s="243" t="s">
        <v>88</v>
      </c>
      <c r="D17" s="251"/>
      <c r="E17" s="240">
        <v>200</v>
      </c>
      <c r="G17" s="1">
        <v>200</v>
      </c>
    </row>
    <row r="18" spans="1:7" s="2" customFormat="1">
      <c r="A18" s="43">
        <v>36</v>
      </c>
      <c r="B18" s="37" t="s">
        <v>20</v>
      </c>
      <c r="C18" s="37"/>
      <c r="D18" s="37"/>
      <c r="E18" s="37">
        <v>5450</v>
      </c>
    </row>
    <row r="19" spans="1:7" ht="6" customHeight="1">
      <c r="A19" s="43">
        <v>37</v>
      </c>
    </row>
    <row r="20" spans="1:7">
      <c r="A20" s="43">
        <v>40</v>
      </c>
      <c r="B20" s="2" t="s">
        <v>150</v>
      </c>
    </row>
    <row r="21" spans="1:7">
      <c r="A21" s="43">
        <v>41</v>
      </c>
      <c r="C21" s="233" t="s">
        <v>21</v>
      </c>
      <c r="D21" s="245"/>
      <c r="E21" s="258">
        <v>4000</v>
      </c>
      <c r="F21" s="1">
        <v>4000</v>
      </c>
    </row>
    <row r="22" spans="1:7">
      <c r="C22" s="238" t="s">
        <v>155</v>
      </c>
      <c r="D22" s="248"/>
      <c r="E22" s="235">
        <v>0</v>
      </c>
      <c r="F22" s="1">
        <v>0</v>
      </c>
    </row>
    <row r="23" spans="1:7">
      <c r="A23" s="43">
        <v>43</v>
      </c>
      <c r="C23" s="238" t="s">
        <v>22</v>
      </c>
      <c r="D23" s="248"/>
      <c r="E23" s="235">
        <v>100</v>
      </c>
      <c r="F23" s="1">
        <v>100</v>
      </c>
    </row>
    <row r="24" spans="1:7">
      <c r="A24" s="43">
        <v>44</v>
      </c>
      <c r="C24" s="243" t="s">
        <v>23</v>
      </c>
      <c r="D24" s="251"/>
      <c r="E24" s="240">
        <v>200</v>
      </c>
      <c r="F24" s="1">
        <v>200</v>
      </c>
    </row>
    <row r="25" spans="1:7" s="2" customFormat="1">
      <c r="A25" s="43">
        <v>45</v>
      </c>
      <c r="B25" s="37" t="s">
        <v>151</v>
      </c>
      <c r="C25" s="37"/>
      <c r="D25" s="37"/>
      <c r="E25" s="37">
        <v>4300</v>
      </c>
    </row>
    <row r="26" spans="1:7" ht="6.75" customHeight="1">
      <c r="A26" s="43">
        <v>46</v>
      </c>
      <c r="D26" s="1"/>
    </row>
    <row r="27" spans="1:7" s="2" customFormat="1">
      <c r="A27" s="43">
        <v>51</v>
      </c>
      <c r="B27" s="37" t="s">
        <v>24</v>
      </c>
      <c r="C27" s="37"/>
      <c r="D27" s="37"/>
      <c r="E27" s="48">
        <v>12800</v>
      </c>
      <c r="G27" s="1">
        <v>12800</v>
      </c>
    </row>
    <row r="28" spans="1:7" ht="6.75" customHeight="1">
      <c r="A28" s="43">
        <v>52</v>
      </c>
    </row>
    <row r="29" spans="1:7">
      <c r="A29" s="43">
        <v>53</v>
      </c>
      <c r="B29" s="2" t="s">
        <v>94</v>
      </c>
    </row>
    <row r="30" spans="1:7">
      <c r="A30" s="43">
        <v>54</v>
      </c>
      <c r="C30" s="233" t="s">
        <v>96</v>
      </c>
      <c r="D30" s="245"/>
      <c r="E30" s="230">
        <v>400</v>
      </c>
      <c r="F30" s="1">
        <v>400</v>
      </c>
    </row>
    <row r="31" spans="1:7">
      <c r="A31" s="43">
        <v>55</v>
      </c>
      <c r="C31" s="243" t="s">
        <v>91</v>
      </c>
      <c r="D31" s="251"/>
      <c r="E31" s="240">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3">
        <v>200</v>
      </c>
      <c r="H34" s="1">
        <v>200</v>
      </c>
    </row>
    <row r="35" spans="1:8" ht="6" customHeight="1">
      <c r="A35" s="43">
        <v>59</v>
      </c>
    </row>
    <row r="36" spans="1:8">
      <c r="A36" s="43">
        <v>60</v>
      </c>
      <c r="B36" s="2" t="s">
        <v>26</v>
      </c>
    </row>
    <row r="37" spans="1:8">
      <c r="A37" s="43">
        <v>61</v>
      </c>
      <c r="C37" s="233" t="s">
        <v>27</v>
      </c>
      <c r="D37" s="245"/>
      <c r="E37" s="258">
        <v>200</v>
      </c>
      <c r="F37" s="1">
        <v>200</v>
      </c>
    </row>
    <row r="38" spans="1:8">
      <c r="A38" s="43">
        <v>62</v>
      </c>
      <c r="C38" s="238" t="s">
        <v>28</v>
      </c>
      <c r="D38" s="248"/>
      <c r="E38" s="256">
        <v>800</v>
      </c>
      <c r="F38" s="1">
        <v>800</v>
      </c>
    </row>
    <row r="39" spans="1:8">
      <c r="A39" s="43">
        <v>63</v>
      </c>
      <c r="C39" s="238" t="s">
        <v>29</v>
      </c>
      <c r="D39" s="248"/>
      <c r="E39" s="256">
        <v>1000</v>
      </c>
      <c r="H39" s="1">
        <v>1000</v>
      </c>
    </row>
    <row r="40" spans="1:8">
      <c r="A40" s="43">
        <v>64</v>
      </c>
      <c r="C40" s="238" t="s">
        <v>30</v>
      </c>
      <c r="D40" s="248"/>
      <c r="E40" s="256">
        <v>3000</v>
      </c>
      <c r="H40" s="1">
        <v>3000</v>
      </c>
    </row>
    <row r="41" spans="1:8">
      <c r="C41" s="238" t="s">
        <v>112</v>
      </c>
      <c r="D41" s="248"/>
      <c r="E41" s="256">
        <v>200</v>
      </c>
      <c r="F41" s="1">
        <v>200</v>
      </c>
    </row>
    <row r="42" spans="1:8">
      <c r="C42" s="238" t="s">
        <v>180</v>
      </c>
      <c r="D42" s="248"/>
      <c r="E42" s="256">
        <v>0</v>
      </c>
      <c r="F42" s="1">
        <v>0</v>
      </c>
    </row>
    <row r="43" spans="1:8">
      <c r="A43" s="43">
        <v>65</v>
      </c>
      <c r="C43" s="243" t="s">
        <v>117</v>
      </c>
      <c r="D43" s="251"/>
      <c r="E43" s="257">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33" t="s">
        <v>33</v>
      </c>
      <c r="D47" s="245"/>
      <c r="E47" s="258">
        <v>3500</v>
      </c>
      <c r="F47" s="1">
        <v>3500</v>
      </c>
    </row>
    <row r="48" spans="1:8">
      <c r="A48" s="43">
        <v>70</v>
      </c>
      <c r="C48" s="238" t="s">
        <v>34</v>
      </c>
      <c r="D48" s="248"/>
      <c r="E48" s="235">
        <v>3250</v>
      </c>
      <c r="F48" s="1">
        <v>3250</v>
      </c>
    </row>
    <row r="49" spans="1:6" ht="14.5" customHeight="1">
      <c r="A49" s="43">
        <v>73</v>
      </c>
      <c r="C49" s="238" t="s">
        <v>35</v>
      </c>
      <c r="D49" s="248"/>
      <c r="E49" s="256">
        <v>13000</v>
      </c>
      <c r="F49" s="1">
        <v>13000</v>
      </c>
    </row>
    <row r="50" spans="1:6">
      <c r="A50" s="43">
        <v>74</v>
      </c>
      <c r="C50" s="238" t="s">
        <v>36</v>
      </c>
      <c r="D50" s="248"/>
      <c r="E50" s="256">
        <v>1000</v>
      </c>
      <c r="F50" s="1">
        <v>1000</v>
      </c>
    </row>
    <row r="51" spans="1:6">
      <c r="A51" s="43">
        <v>75</v>
      </c>
      <c r="C51" s="243" t="s">
        <v>37</v>
      </c>
      <c r="D51" s="251"/>
      <c r="E51" s="257">
        <v>1700</v>
      </c>
      <c r="F51" s="1">
        <v>1700</v>
      </c>
    </row>
    <row r="52" spans="1:6" ht="14.5" customHeight="1">
      <c r="A52" s="43">
        <v>73</v>
      </c>
      <c r="C52" s="238" t="s">
        <v>280</v>
      </c>
      <c r="D52" s="248"/>
      <c r="E52" s="256">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152</v>
      </c>
      <c r="D57" s="50" t="s">
        <v>220</v>
      </c>
    </row>
    <row r="58" spans="1:6" ht="14.5" customHeight="1">
      <c r="A58" s="43">
        <v>81</v>
      </c>
      <c r="C58" s="233" t="s">
        <v>177</v>
      </c>
      <c r="D58" s="245"/>
      <c r="E58" s="264">
        <v>72737</v>
      </c>
    </row>
    <row r="59" spans="1:6">
      <c r="A59" s="43">
        <v>82</v>
      </c>
      <c r="C59" s="238" t="s">
        <v>40</v>
      </c>
      <c r="D59" s="248"/>
      <c r="E59" s="272">
        <v>1500</v>
      </c>
    </row>
    <row r="60" spans="1:6" ht="14.5" customHeight="1">
      <c r="C60" s="238" t="s">
        <v>105</v>
      </c>
      <c r="D60" s="248"/>
      <c r="E60" s="272">
        <v>5564.3805000000002</v>
      </c>
    </row>
    <row r="61" spans="1:6" ht="14" customHeight="1">
      <c r="C61" s="238" t="s">
        <v>170</v>
      </c>
      <c r="D61" s="248"/>
      <c r="E61" s="272">
        <v>16110</v>
      </c>
    </row>
    <row r="62" spans="1:6" ht="14.4" customHeight="1">
      <c r="A62" s="43">
        <v>83</v>
      </c>
      <c r="C62" s="238" t="s">
        <v>171</v>
      </c>
      <c r="D62" s="248"/>
      <c r="E62" s="272">
        <v>2662</v>
      </c>
    </row>
    <row r="63" spans="1:6">
      <c r="C63" s="238" t="s">
        <v>107</v>
      </c>
      <c r="D63" s="248"/>
      <c r="E63" s="272">
        <v>600</v>
      </c>
    </row>
    <row r="64" spans="1:6">
      <c r="C64" s="238" t="s">
        <v>212</v>
      </c>
      <c r="D64" s="248"/>
      <c r="E64" s="272">
        <v>480</v>
      </c>
    </row>
    <row r="65" spans="1:8">
      <c r="A65" s="43">
        <v>85</v>
      </c>
      <c r="C65" s="243" t="s">
        <v>41</v>
      </c>
      <c r="D65" s="251"/>
      <c r="E65" s="286">
        <v>1000</v>
      </c>
      <c r="F65" s="388">
        <v>0.4</v>
      </c>
      <c r="G65" s="388">
        <v>0.2</v>
      </c>
      <c r="H65" s="388">
        <v>0.4</v>
      </c>
    </row>
    <row r="66" spans="1:8" s="2" customFormat="1">
      <c r="A66" s="43">
        <v>86</v>
      </c>
      <c r="B66" s="24" t="s">
        <v>153</v>
      </c>
      <c r="C66" s="24"/>
      <c r="D66" s="24"/>
      <c r="E66" s="24">
        <v>100653.3805</v>
      </c>
      <c r="F66" s="2">
        <v>40261.352200000001</v>
      </c>
      <c r="G66" s="2">
        <v>20130.676100000001</v>
      </c>
      <c r="H66" s="2">
        <v>40261.352200000001</v>
      </c>
    </row>
    <row r="67" spans="1:8" ht="6.75" customHeight="1">
      <c r="A67" s="43">
        <v>87</v>
      </c>
    </row>
    <row r="68" spans="1:8">
      <c r="A68" s="43">
        <v>88</v>
      </c>
      <c r="B68" s="2" t="s">
        <v>185</v>
      </c>
      <c r="E68" s="39"/>
    </row>
    <row r="69" spans="1:8">
      <c r="A69" s="43">
        <v>89</v>
      </c>
      <c r="C69" s="233" t="s">
        <v>42</v>
      </c>
      <c r="D69" s="245"/>
      <c r="E69" s="258">
        <v>45000</v>
      </c>
    </row>
    <row r="70" spans="1:8">
      <c r="C70" s="238" t="s">
        <v>41</v>
      </c>
      <c r="D70" s="248"/>
      <c r="E70" s="256">
        <v>750</v>
      </c>
    </row>
    <row r="71" spans="1:8">
      <c r="C71" s="238" t="s">
        <v>43</v>
      </c>
      <c r="D71" s="248"/>
      <c r="E71" s="256">
        <v>1500</v>
      </c>
    </row>
    <row r="72" spans="1:8">
      <c r="C72" s="238" t="s">
        <v>212</v>
      </c>
      <c r="D72" s="248"/>
      <c r="E72" s="256">
        <v>480</v>
      </c>
    </row>
    <row r="73" spans="1:8">
      <c r="C73" s="238" t="s">
        <v>107</v>
      </c>
      <c r="D73" s="248"/>
      <c r="E73" s="256">
        <v>350</v>
      </c>
    </row>
    <row r="74" spans="1:8">
      <c r="A74" s="43">
        <v>90</v>
      </c>
      <c r="C74" s="243" t="s">
        <v>218</v>
      </c>
      <c r="D74" s="251"/>
      <c r="E74" s="257">
        <v>2000</v>
      </c>
      <c r="F74" s="388">
        <v>0.4</v>
      </c>
      <c r="G74" s="388">
        <v>0.4</v>
      </c>
      <c r="H74" s="388">
        <v>0.2</v>
      </c>
    </row>
    <row r="75" spans="1:8" s="2" customFormat="1">
      <c r="A75" s="43">
        <v>91</v>
      </c>
      <c r="B75" s="24" t="s">
        <v>186</v>
      </c>
      <c r="C75" s="24"/>
      <c r="D75" s="24"/>
      <c r="E75" s="24">
        <v>50080</v>
      </c>
      <c r="F75" s="2">
        <v>20032</v>
      </c>
      <c r="G75" s="2">
        <v>20032</v>
      </c>
      <c r="H75" s="2">
        <v>10016</v>
      </c>
    </row>
    <row r="76" spans="1:8" ht="4.5" customHeight="1">
      <c r="A76" s="43">
        <v>92</v>
      </c>
    </row>
    <row r="77" spans="1:8" ht="4.5" customHeight="1"/>
    <row r="78" spans="1:8">
      <c r="A78" s="43">
        <v>93</v>
      </c>
      <c r="B78" s="2" t="s">
        <v>163</v>
      </c>
    </row>
    <row r="79" spans="1:8">
      <c r="A79" s="43">
        <v>94</v>
      </c>
      <c r="C79" s="233" t="s">
        <v>42</v>
      </c>
      <c r="D79" s="245"/>
      <c r="E79" s="264">
        <v>20808</v>
      </c>
      <c r="G79" s="1">
        <v>20808</v>
      </c>
    </row>
    <row r="80" spans="1:8">
      <c r="A80" s="43">
        <v>95</v>
      </c>
      <c r="C80" s="243" t="s">
        <v>44</v>
      </c>
      <c r="D80" s="251"/>
      <c r="E80" s="286">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33" t="s">
        <v>109</v>
      </c>
      <c r="D85" s="245"/>
      <c r="E85" s="264">
        <v>15918</v>
      </c>
      <c r="F85" s="1">
        <v>15918</v>
      </c>
    </row>
    <row r="86" spans="1:7">
      <c r="C86" s="233" t="s">
        <v>224</v>
      </c>
      <c r="D86" s="245"/>
      <c r="E86" s="264">
        <v>3000</v>
      </c>
      <c r="F86" s="1">
        <v>3000</v>
      </c>
    </row>
    <row r="87" spans="1:7">
      <c r="A87" s="43">
        <v>109</v>
      </c>
      <c r="C87" s="238" t="s">
        <v>47</v>
      </c>
      <c r="D87" s="248"/>
      <c r="E87" s="235">
        <v>500</v>
      </c>
      <c r="F87" s="1">
        <v>500</v>
      </c>
    </row>
    <row r="88" spans="1:7">
      <c r="A88" s="43">
        <v>110</v>
      </c>
      <c r="C88" s="238" t="s">
        <v>48</v>
      </c>
      <c r="D88" s="248"/>
      <c r="E88" s="272">
        <v>13290</v>
      </c>
      <c r="F88" s="1">
        <v>13290</v>
      </c>
    </row>
    <row r="89" spans="1:7">
      <c r="A89" s="43">
        <v>110</v>
      </c>
      <c r="C89" s="877" t="s">
        <v>272</v>
      </c>
      <c r="D89" s="877"/>
      <c r="E89" s="272">
        <v>3000</v>
      </c>
      <c r="F89" s="1">
        <v>3000</v>
      </c>
    </row>
    <row r="90" spans="1:7">
      <c r="C90" s="238" t="s">
        <v>267</v>
      </c>
      <c r="D90" s="248"/>
      <c r="E90" s="272">
        <v>3350</v>
      </c>
      <c r="F90" s="1">
        <v>3350</v>
      </c>
    </row>
    <row r="91" spans="1:7">
      <c r="A91" s="43">
        <v>111</v>
      </c>
      <c r="C91" s="238" t="s">
        <v>49</v>
      </c>
      <c r="D91" s="248"/>
      <c r="E91" s="272">
        <v>7484</v>
      </c>
      <c r="F91" s="1">
        <v>7484</v>
      </c>
    </row>
    <row r="92" spans="1:7">
      <c r="A92" s="43">
        <v>112</v>
      </c>
      <c r="C92" s="238" t="s">
        <v>50</v>
      </c>
      <c r="D92" s="248"/>
      <c r="E92" s="272">
        <v>1785</v>
      </c>
      <c r="G92" s="1">
        <v>1785</v>
      </c>
    </row>
    <row r="93" spans="1:7">
      <c r="C93" s="238" t="s">
        <v>106</v>
      </c>
      <c r="D93" s="248"/>
      <c r="E93" s="256">
        <v>0</v>
      </c>
      <c r="G93" s="1">
        <v>0</v>
      </c>
    </row>
    <row r="94" spans="1:7">
      <c r="A94" s="43">
        <v>113</v>
      </c>
      <c r="C94" s="243" t="s">
        <v>110</v>
      </c>
      <c r="D94" s="251"/>
      <c r="E94" s="286">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388">
        <v>0.33300000000000002</v>
      </c>
      <c r="G97" s="388">
        <v>0.33300000000000002</v>
      </c>
      <c r="H97" s="388">
        <v>0.33400000000000002</v>
      </c>
    </row>
    <row r="98" spans="1:9">
      <c r="C98" s="238" t="s">
        <v>181</v>
      </c>
      <c r="D98" s="248"/>
      <c r="E98" s="264">
        <v>35360</v>
      </c>
      <c r="F98" s="1">
        <v>11774.880000000001</v>
      </c>
      <c r="G98" s="1">
        <v>11774.880000000001</v>
      </c>
      <c r="H98" s="1">
        <v>11810.24</v>
      </c>
    </row>
    <row r="99" spans="1:9">
      <c r="A99" s="43">
        <v>122</v>
      </c>
      <c r="C99" s="238" t="s">
        <v>183</v>
      </c>
      <c r="D99" s="248"/>
      <c r="E99" s="256">
        <v>1000</v>
      </c>
      <c r="F99" s="1">
        <v>333</v>
      </c>
      <c r="G99" s="1">
        <v>333</v>
      </c>
      <c r="H99" s="1">
        <v>334</v>
      </c>
    </row>
    <row r="100" spans="1:9">
      <c r="A100" s="43">
        <v>118</v>
      </c>
      <c r="C100" s="238" t="s">
        <v>54</v>
      </c>
      <c r="D100" s="248"/>
      <c r="E100" s="272">
        <v>33465</v>
      </c>
      <c r="I100" s="1">
        <v>33465</v>
      </c>
    </row>
    <row r="101" spans="1:9">
      <c r="A101" s="43">
        <v>119</v>
      </c>
      <c r="C101" s="238" t="s">
        <v>55</v>
      </c>
      <c r="D101" s="248"/>
      <c r="E101" s="256">
        <v>400</v>
      </c>
      <c r="F101" s="1">
        <v>133.20000000000002</v>
      </c>
      <c r="G101" s="1">
        <v>133.20000000000002</v>
      </c>
      <c r="H101" s="1">
        <v>133.6</v>
      </c>
    </row>
    <row r="102" spans="1:9">
      <c r="A102" s="43">
        <v>120</v>
      </c>
      <c r="C102" s="238" t="s">
        <v>99</v>
      </c>
      <c r="D102" s="248"/>
      <c r="E102" s="256">
        <v>700</v>
      </c>
      <c r="F102" s="1">
        <v>233.10000000000002</v>
      </c>
      <c r="G102" s="1">
        <v>233.10000000000002</v>
      </c>
      <c r="H102" s="1">
        <v>233.8</v>
      </c>
    </row>
    <row r="103" spans="1:9" ht="14" customHeight="1">
      <c r="C103" s="238" t="s">
        <v>116</v>
      </c>
      <c r="D103" s="248"/>
      <c r="E103" s="272">
        <v>925</v>
      </c>
      <c r="F103" s="1">
        <v>925</v>
      </c>
    </row>
    <row r="104" spans="1:9">
      <c r="C104" s="877" t="s">
        <v>182</v>
      </c>
      <c r="D104" s="877"/>
      <c r="E104" s="300">
        <v>11138</v>
      </c>
      <c r="F104" s="1">
        <v>3708.9540000000002</v>
      </c>
      <c r="G104" s="1">
        <v>3708.9540000000002</v>
      </c>
      <c r="H104" s="1">
        <v>3720.0920000000001</v>
      </c>
    </row>
    <row r="105" spans="1:9" ht="14.5" customHeight="1">
      <c r="A105" s="43">
        <v>123</v>
      </c>
      <c r="C105" s="238" t="s">
        <v>56</v>
      </c>
      <c r="D105" s="248"/>
      <c r="E105" s="272">
        <v>14502</v>
      </c>
      <c r="F105" s="1">
        <v>4829.1660000000002</v>
      </c>
      <c r="G105" s="1">
        <v>4829.1660000000002</v>
      </c>
      <c r="H105" s="1">
        <v>4843.6680000000006</v>
      </c>
    </row>
    <row r="106" spans="1:9" ht="14.4" customHeight="1">
      <c r="A106" s="43">
        <v>124</v>
      </c>
      <c r="C106" s="238" t="s">
        <v>57</v>
      </c>
      <c r="D106" s="248"/>
      <c r="E106" s="256">
        <v>3384</v>
      </c>
      <c r="F106" s="1">
        <v>1126.8720000000001</v>
      </c>
      <c r="G106" s="1">
        <v>1126.8720000000001</v>
      </c>
      <c r="H106" s="1">
        <v>1130.2560000000001</v>
      </c>
    </row>
    <row r="107" spans="1:9">
      <c r="A107" s="43">
        <v>125</v>
      </c>
      <c r="C107" s="238" t="s">
        <v>58</v>
      </c>
      <c r="D107" s="248"/>
      <c r="E107" s="54">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38" t="s">
        <v>63</v>
      </c>
      <c r="D113" s="248"/>
      <c r="E113" s="258">
        <v>10500</v>
      </c>
      <c r="I113" s="1">
        <v>10500</v>
      </c>
    </row>
    <row r="114" spans="1:9" ht="14.4" customHeight="1">
      <c r="A114" s="43">
        <v>133</v>
      </c>
      <c r="C114" s="238" t="s">
        <v>64</v>
      </c>
      <c r="D114" s="248"/>
      <c r="E114" s="256">
        <v>8160</v>
      </c>
      <c r="I114" s="1">
        <v>8160</v>
      </c>
    </row>
    <row r="115" spans="1:9">
      <c r="A115" s="43">
        <v>134</v>
      </c>
      <c r="C115" s="238" t="s">
        <v>65</v>
      </c>
      <c r="D115" s="248"/>
      <c r="E115" s="235">
        <v>4500</v>
      </c>
      <c r="I115" s="1">
        <v>4500</v>
      </c>
    </row>
    <row r="116" spans="1:9" ht="14.4" customHeight="1">
      <c r="A116" s="43">
        <v>135</v>
      </c>
      <c r="C116" s="238" t="s">
        <v>66</v>
      </c>
      <c r="D116" s="248"/>
      <c r="E116" s="235">
        <v>816</v>
      </c>
      <c r="I116" s="1">
        <v>816</v>
      </c>
    </row>
    <row r="117" spans="1:9" ht="14.4" customHeight="1">
      <c r="A117" s="43">
        <v>136</v>
      </c>
      <c r="C117" s="238" t="s">
        <v>67</v>
      </c>
      <c r="D117" s="248"/>
      <c r="E117" s="256">
        <v>300</v>
      </c>
      <c r="I117" s="1">
        <v>300</v>
      </c>
    </row>
    <row r="118" spans="1:9" ht="14.4" customHeight="1">
      <c r="A118" s="43">
        <v>137</v>
      </c>
      <c r="C118" s="238" t="s">
        <v>68</v>
      </c>
      <c r="D118" s="248"/>
      <c r="E118" s="256">
        <v>600</v>
      </c>
      <c r="I118" s="1">
        <v>600</v>
      </c>
    </row>
    <row r="119" spans="1:9" ht="14.4" customHeight="1">
      <c r="A119" s="43">
        <v>138</v>
      </c>
      <c r="C119" s="238" t="s">
        <v>104</v>
      </c>
      <c r="D119" s="248"/>
      <c r="E119" s="240">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33" t="s">
        <v>71</v>
      </c>
      <c r="D123" s="245"/>
      <c r="E123" s="258">
        <v>16899.940000000002</v>
      </c>
      <c r="I123" s="1">
        <v>16899.940000000002</v>
      </c>
    </row>
    <row r="124" spans="1:9">
      <c r="A124" s="43">
        <v>143</v>
      </c>
      <c r="C124" s="238" t="s">
        <v>72</v>
      </c>
      <c r="D124" s="248"/>
      <c r="E124" s="235">
        <v>4500</v>
      </c>
      <c r="I124" s="1">
        <v>4500</v>
      </c>
    </row>
    <row r="125" spans="1:9">
      <c r="A125" s="43">
        <v>144</v>
      </c>
      <c r="C125" s="238" t="s">
        <v>97</v>
      </c>
      <c r="D125" s="248"/>
      <c r="E125" s="235">
        <v>4000</v>
      </c>
      <c r="I125" s="1">
        <v>4000</v>
      </c>
    </row>
    <row r="126" spans="1:9">
      <c r="A126" s="43">
        <v>145</v>
      </c>
      <c r="C126" s="877" t="s">
        <v>100</v>
      </c>
      <c r="D126" s="877"/>
      <c r="E126" s="256">
        <v>8000</v>
      </c>
      <c r="I126" s="1">
        <v>8000</v>
      </c>
    </row>
    <row r="127" spans="1:9">
      <c r="A127" s="43">
        <v>146</v>
      </c>
      <c r="C127" s="243" t="s">
        <v>73</v>
      </c>
      <c r="D127" s="251"/>
      <c r="E127" s="240">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38" t="s">
        <v>149</v>
      </c>
      <c r="D133" s="248"/>
      <c r="E133" s="256">
        <v>12000</v>
      </c>
    </row>
    <row r="134" spans="1:9">
      <c r="A134" s="43">
        <v>157</v>
      </c>
      <c r="C134" s="238" t="s">
        <v>154</v>
      </c>
      <c r="D134" s="248"/>
      <c r="E134" s="256">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5" t="s">
        <v>164</v>
      </c>
      <c r="C140" s="106"/>
      <c r="D140" s="106"/>
      <c r="E140" s="108">
        <v>513300</v>
      </c>
    </row>
    <row r="141" spans="1:9">
      <c r="B141" s="112" t="s">
        <v>156</v>
      </c>
      <c r="C141" s="100"/>
      <c r="D141" s="100"/>
      <c r="E141" s="102">
        <v>500932.32049999997</v>
      </c>
      <c r="F141" s="393">
        <v>164734.65720000005</v>
      </c>
      <c r="G141" s="393">
        <v>103945.78110000001</v>
      </c>
      <c r="H141" s="393">
        <v>128013.94220000002</v>
      </c>
      <c r="I141" s="393">
        <v>104240.94</v>
      </c>
    </row>
    <row r="142" spans="1:9" ht="15" thickBot="1">
      <c r="B142" s="114" t="s">
        <v>165</v>
      </c>
      <c r="C142" s="115"/>
      <c r="D142" s="115"/>
      <c r="E142" s="118">
        <v>12367.679500000027</v>
      </c>
    </row>
    <row r="146" spans="1:4">
      <c r="D146" s="75"/>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2.xml><?xml version="1.0" encoding="utf-8"?>
<worksheet xmlns="http://schemas.openxmlformats.org/spreadsheetml/2006/main" xmlns:r="http://schemas.openxmlformats.org/officeDocument/2006/relationships">
  <sheetPr>
    <tabColor rgb="FFFF0000"/>
    <pageSetUpPr fitToPage="1"/>
  </sheetPr>
  <dimension ref="A1:K14"/>
  <sheetViews>
    <sheetView showGridLines="0" topLeftCell="A4" workbookViewId="0">
      <selection activeCell="M5" sqref="M5"/>
    </sheetView>
  </sheetViews>
  <sheetFormatPr defaultRowHeight="21"/>
  <cols>
    <col min="1" max="1" width="4.36328125" style="656" customWidth="1"/>
    <col min="2" max="2" width="39.6328125" style="656" customWidth="1"/>
    <col min="3" max="3" width="15" style="656" hidden="1" customWidth="1"/>
    <col min="4" max="4" width="1.453125" style="683" customWidth="1"/>
    <col min="5" max="6" width="16" style="656" customWidth="1"/>
    <col min="7" max="7" width="1.453125" style="656" customWidth="1"/>
    <col min="8" max="8" width="16.08984375" style="656" customWidth="1"/>
    <col min="9" max="9" width="1.453125" style="656" customWidth="1"/>
    <col min="10" max="10" width="16.08984375" style="656" customWidth="1"/>
    <col min="11" max="16384" width="8.7265625" style="656"/>
  </cols>
  <sheetData>
    <row r="1" spans="1:11" ht="26">
      <c r="B1" s="853" t="s">
        <v>87</v>
      </c>
      <c r="C1" s="853"/>
      <c r="D1" s="853"/>
      <c r="E1" s="853"/>
      <c r="F1" s="853"/>
      <c r="G1" s="853"/>
      <c r="H1" s="853"/>
      <c r="I1" s="853"/>
      <c r="J1" s="853"/>
    </row>
    <row r="2" spans="1:11">
      <c r="D2" s="685"/>
    </row>
    <row r="3" spans="1:11">
      <c r="D3" s="687"/>
      <c r="E3" s="851">
        <v>2020</v>
      </c>
      <c r="F3" s="852"/>
      <c r="G3" s="694"/>
      <c r="H3" s="674">
        <v>2021</v>
      </c>
      <c r="I3" s="698"/>
      <c r="J3" s="688"/>
    </row>
    <row r="4" spans="1:11" ht="53" customHeight="1">
      <c r="B4" s="668"/>
      <c r="C4" s="663" t="s">
        <v>424</v>
      </c>
      <c r="D4" s="690"/>
      <c r="E4" s="663" t="s">
        <v>407</v>
      </c>
      <c r="F4" s="663" t="s">
        <v>421</v>
      </c>
      <c r="G4" s="695"/>
      <c r="H4" s="663" t="s">
        <v>422</v>
      </c>
      <c r="I4" s="699"/>
      <c r="J4" s="663" t="s">
        <v>423</v>
      </c>
      <c r="K4" s="668"/>
    </row>
    <row r="5" spans="1:11">
      <c r="B5" s="668" t="s">
        <v>416</v>
      </c>
      <c r="C5" s="684"/>
      <c r="D5" s="680"/>
      <c r="E5" s="661">
        <v>56200</v>
      </c>
      <c r="F5" s="661">
        <f>+'Summary New Year'!J116</f>
        <v>113668.58000000002</v>
      </c>
      <c r="G5" s="666"/>
      <c r="H5" s="661">
        <f>+'New Year-Full Year'!P206</f>
        <v>-701</v>
      </c>
      <c r="I5" s="677"/>
      <c r="J5" s="679"/>
      <c r="K5" s="668"/>
    </row>
    <row r="6" spans="1:11">
      <c r="B6" s="668" t="s">
        <v>415</v>
      </c>
      <c r="C6" s="685"/>
      <c r="D6" s="680"/>
      <c r="E6" s="659">
        <v>5000</v>
      </c>
      <c r="F6" s="659"/>
      <c r="G6" s="666"/>
      <c r="H6" s="678"/>
      <c r="I6" s="677"/>
      <c r="J6" s="680"/>
      <c r="K6" s="668"/>
    </row>
    <row r="7" spans="1:11">
      <c r="B7" s="689" t="s">
        <v>418</v>
      </c>
      <c r="C7" s="686"/>
      <c r="D7" s="681"/>
      <c r="E7" s="664">
        <f>+E5-E6</f>
        <v>51200</v>
      </c>
      <c r="F7" s="664">
        <f>+F5-F6</f>
        <v>113668.58000000002</v>
      </c>
      <c r="G7" s="676"/>
      <c r="H7" s="664">
        <f>+H5-H6</f>
        <v>-701</v>
      </c>
      <c r="I7" s="681"/>
      <c r="J7" s="681"/>
      <c r="K7" s="668"/>
    </row>
    <row r="8" spans="1:11">
      <c r="B8" s="668"/>
      <c r="D8" s="685"/>
      <c r="G8" s="668"/>
      <c r="I8" s="668"/>
      <c r="K8" s="668"/>
    </row>
    <row r="9" spans="1:11">
      <c r="B9" s="689" t="s">
        <v>408</v>
      </c>
      <c r="D9" s="685"/>
      <c r="G9" s="668"/>
      <c r="I9" s="668"/>
      <c r="K9" s="668"/>
    </row>
    <row r="10" spans="1:11">
      <c r="A10" s="657" t="s">
        <v>409</v>
      </c>
      <c r="B10" s="668" t="s">
        <v>420</v>
      </c>
      <c r="C10" s="661">
        <v>13765.63</v>
      </c>
      <c r="D10" s="691"/>
      <c r="E10" s="660"/>
      <c r="F10" s="665">
        <v>20000</v>
      </c>
      <c r="G10" s="675"/>
      <c r="H10" s="661"/>
      <c r="I10" s="680"/>
      <c r="J10" s="701">
        <f>SUM(C10:H10)</f>
        <v>33765.629999999997</v>
      </c>
      <c r="K10" s="668"/>
    </row>
    <row r="11" spans="1:11">
      <c r="A11" s="657" t="s">
        <v>410</v>
      </c>
      <c r="B11" s="668" t="s">
        <v>413</v>
      </c>
      <c r="C11" s="678">
        <v>29502.66</v>
      </c>
      <c r="D11" s="691"/>
      <c r="E11" s="671">
        <f>+$E$7/2</f>
        <v>25600</v>
      </c>
      <c r="F11" s="667">
        <v>10000</v>
      </c>
      <c r="G11" s="675"/>
      <c r="H11" s="678">
        <f>+'New Year-Full Year'!P193</f>
        <v>0</v>
      </c>
      <c r="I11" s="680"/>
      <c r="J11" s="671">
        <f t="shared" ref="J11:J13" si="0">SUM(C11:H11)</f>
        <v>65102.66</v>
      </c>
      <c r="K11" s="668"/>
    </row>
    <row r="12" spans="1:11">
      <c r="A12" s="657" t="s">
        <v>411</v>
      </c>
      <c r="B12" s="668" t="s">
        <v>419</v>
      </c>
      <c r="C12" s="678">
        <v>168816.55</v>
      </c>
      <c r="D12" s="692"/>
      <c r="E12" s="672"/>
      <c r="F12" s="669">
        <f>+F7-F10-F11</f>
        <v>83668.580000000016</v>
      </c>
      <c r="G12" s="696"/>
      <c r="H12" s="682"/>
      <c r="I12" s="700"/>
      <c r="J12" s="682">
        <f t="shared" si="0"/>
        <v>252485.13</v>
      </c>
      <c r="K12" s="668"/>
    </row>
    <row r="13" spans="1:11">
      <c r="A13" s="657" t="s">
        <v>412</v>
      </c>
      <c r="B13" s="668" t="s">
        <v>414</v>
      </c>
      <c r="C13" s="659">
        <v>29502.66</v>
      </c>
      <c r="D13" s="662"/>
      <c r="E13" s="673">
        <f>+$E$7/2</f>
        <v>25600</v>
      </c>
      <c r="F13" s="670"/>
      <c r="G13" s="697"/>
      <c r="H13" s="658"/>
      <c r="I13" s="685"/>
      <c r="J13" s="673">
        <f t="shared" si="0"/>
        <v>55102.66</v>
      </c>
      <c r="K13" s="668"/>
    </row>
    <row r="14" spans="1:11">
      <c r="B14" s="689" t="s">
        <v>417</v>
      </c>
      <c r="C14" s="664">
        <f>SUM(C10:C13)</f>
        <v>241587.5</v>
      </c>
      <c r="D14" s="693"/>
      <c r="E14" s="664">
        <f>SUM(E10:E13)</f>
        <v>51200</v>
      </c>
      <c r="F14" s="664">
        <f>SUM(F10:F13)</f>
        <v>113668.58000000002</v>
      </c>
      <c r="G14" s="676"/>
      <c r="H14" s="664">
        <f>SUM(H10:H13)</f>
        <v>0</v>
      </c>
      <c r="I14" s="681"/>
      <c r="J14" s="664">
        <f>SUM(J10:J13)</f>
        <v>406456.08000000007</v>
      </c>
      <c r="K14" s="668"/>
    </row>
  </sheetData>
  <mergeCells count="2">
    <mergeCell ref="E3:F3"/>
    <mergeCell ref="B1:J1"/>
  </mergeCells>
  <pageMargins left="0.7" right="0.7" top="0.75" bottom="0.75" header="0.3" footer="0.3"/>
  <pageSetup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sheetPr>
    <tabColor rgb="FFFF0000"/>
    <pageSetUpPr fitToPage="1"/>
  </sheetPr>
  <dimension ref="A1:M117"/>
  <sheetViews>
    <sheetView showGridLines="0" topLeftCell="B1" workbookViewId="0">
      <selection activeCell="E88" sqref="E88"/>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855" t="s">
        <v>87</v>
      </c>
      <c r="C1" s="855"/>
      <c r="D1" s="855"/>
      <c r="E1" s="855"/>
      <c r="F1" s="855"/>
      <c r="G1" s="855"/>
      <c r="H1" s="855"/>
      <c r="I1" s="855"/>
      <c r="J1" s="855"/>
      <c r="K1" s="855"/>
      <c r="L1" s="855"/>
    </row>
    <row r="2" spans="1:12" ht="8.25" customHeight="1">
      <c r="B2" s="856"/>
      <c r="C2" s="856"/>
      <c r="D2" s="856"/>
      <c r="E2" s="856"/>
      <c r="F2" s="856"/>
      <c r="G2" s="856"/>
      <c r="H2" s="856"/>
      <c r="I2" s="856"/>
      <c r="J2" s="856"/>
      <c r="K2" s="856"/>
      <c r="L2" s="856"/>
    </row>
    <row r="3" spans="1:12" ht="18" customHeight="1">
      <c r="E3" s="860" t="s">
        <v>86</v>
      </c>
      <c r="F3" s="861"/>
      <c r="G3" s="861"/>
      <c r="H3" s="862"/>
      <c r="J3" s="857" t="str">
        <f>+'New Year-Full Year'!U2</f>
        <v>2021 Year to Date (YTD)</v>
      </c>
      <c r="K3" s="858"/>
      <c r="L3" s="859"/>
    </row>
    <row r="4" spans="1:12" ht="22.5" customHeight="1">
      <c r="E4" s="868" t="str">
        <f>+'New Year-Full Year'!P3</f>
        <v>2022 Budget</v>
      </c>
      <c r="F4" s="866" t="str">
        <f>+'New Year-Full Year'!Q3</f>
        <v>2021 Budget</v>
      </c>
      <c r="G4" s="864" t="str">
        <f>Bud_Yr&amp;" Budget vs "&amp;Bud_Yr-1&amp;" Budget"</f>
        <v>2022 Budget vs 2021 Budget</v>
      </c>
      <c r="H4" s="865"/>
      <c r="J4" s="868" t="str">
        <f>+'New Year-Full Year'!U3</f>
        <v>Oct 2021 YTD Actual</v>
      </c>
      <c r="K4" s="866" t="str">
        <f>+'New Year-Full Year'!V3</f>
        <v>Oct 2021 YTD Budget</v>
      </c>
      <c r="L4" s="870" t="s">
        <v>85</v>
      </c>
    </row>
    <row r="5" spans="1:12" s="2" customFormat="1">
      <c r="A5" s="44"/>
      <c r="E5" s="869"/>
      <c r="F5" s="867"/>
      <c r="G5" s="549" t="s">
        <v>113</v>
      </c>
      <c r="H5" s="51" t="s">
        <v>114</v>
      </c>
      <c r="J5" s="869"/>
      <c r="K5" s="867"/>
      <c r="L5" s="871"/>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457920</v>
      </c>
      <c r="F8" s="38">
        <f>+'New Year-Full Year'!Q7</f>
        <v>477000</v>
      </c>
      <c r="G8" s="38">
        <f>+E8-F8</f>
        <v>-19080</v>
      </c>
      <c r="H8" s="4">
        <f t="shared" ref="H8:H14" si="0">IF(F8=0,"NA",(+E8-F8)/F8)</f>
        <v>-0.04</v>
      </c>
      <c r="J8" s="38">
        <f>+'New Year-Full Year'!U7</f>
        <v>387236.64</v>
      </c>
      <c r="K8" s="38">
        <f>+'New Year-Full Year'!V7</f>
        <v>399178.07</v>
      </c>
      <c r="L8" s="4">
        <f t="shared" ref="L8:L14" si="1">IF(K8=0,"NA",(+J8-K8)/K8)</f>
        <v>-2.9915045182717561E-2</v>
      </c>
    </row>
    <row r="9" spans="1:12">
      <c r="C9" s="1" t="str">
        <f>+'New Year-Full Year'!C9</f>
        <v>Advent Offerings</v>
      </c>
      <c r="E9" s="38">
        <f>+'New Year-Full Year'!P9</f>
        <v>0</v>
      </c>
      <c r="F9" s="38">
        <f>+'New Year-Full Year'!Q9</f>
        <v>0</v>
      </c>
      <c r="G9" s="38">
        <f t="shared" ref="G9:G13" si="2">+E9-F9</f>
        <v>0</v>
      </c>
      <c r="H9" s="4" t="str">
        <f>IF(F9=0,"NA",(+E9-F9)/F9)</f>
        <v>NA</v>
      </c>
      <c r="J9" s="38">
        <f>+'New Year-Full Year'!U9</f>
        <v>0</v>
      </c>
      <c r="K9" s="38">
        <f>+'New Year-Full Year'!V9</f>
        <v>0</v>
      </c>
      <c r="L9" s="4" t="str">
        <f>IF(K9=0,"NA",(+J9-K9)/K9)</f>
        <v>NA</v>
      </c>
    </row>
    <row r="10" spans="1:12">
      <c r="A10" s="43">
        <v>4</v>
      </c>
      <c r="C10" s="1" t="str">
        <f>+'New Year-Full Year'!C10</f>
        <v>Easter Offerings</v>
      </c>
      <c r="E10" s="38">
        <f>+'New Year-Full Year'!P10</f>
        <v>2000</v>
      </c>
      <c r="F10" s="38">
        <f>+'New Year-Full Year'!Q10</f>
        <v>3500</v>
      </c>
      <c r="G10" s="38">
        <f t="shared" si="2"/>
        <v>-1500</v>
      </c>
      <c r="H10" s="4">
        <f t="shared" si="0"/>
        <v>-0.42857142857142855</v>
      </c>
      <c r="J10" s="38">
        <f>+'New Year-Full Year'!U10</f>
        <v>2910</v>
      </c>
      <c r="K10" s="38">
        <f>+'New Year-Full Year'!V10</f>
        <v>3500</v>
      </c>
      <c r="L10" s="4">
        <f t="shared" si="1"/>
        <v>-0.16857142857142857</v>
      </c>
    </row>
    <row r="11" spans="1:12">
      <c r="A11" s="43">
        <v>5</v>
      </c>
      <c r="C11" s="1" t="str">
        <f>+'New Year-Full Year'!C11</f>
        <v>Thanksgiving Offerings</v>
      </c>
      <c r="E11" s="38">
        <f>+'New Year-Full Year'!P11</f>
        <v>500</v>
      </c>
      <c r="F11" s="38">
        <f>+'New Year-Full Year'!Q11</f>
        <v>1000</v>
      </c>
      <c r="G11" s="38">
        <f t="shared" si="2"/>
        <v>-500</v>
      </c>
      <c r="H11" s="4">
        <f t="shared" si="0"/>
        <v>-0.5</v>
      </c>
      <c r="J11" s="38">
        <f>+'New Year-Full Year'!U11</f>
        <v>25</v>
      </c>
      <c r="K11" s="38">
        <f>+'New Year-Full Year'!V11</f>
        <v>0</v>
      </c>
      <c r="L11" s="4" t="str">
        <f t="shared" si="1"/>
        <v>NA</v>
      </c>
    </row>
    <row r="12" spans="1:12">
      <c r="A12" s="43">
        <v>6</v>
      </c>
      <c r="C12" s="1" t="str">
        <f>+'New Year-Full Year'!C12</f>
        <v>Christmas Offerings</v>
      </c>
      <c r="E12" s="38">
        <f>+'New Year-Full Year'!P12</f>
        <v>5000</v>
      </c>
      <c r="F12" s="38">
        <f>+'New Year-Full Year'!Q12</f>
        <v>5000</v>
      </c>
      <c r="G12" s="38">
        <f t="shared" si="2"/>
        <v>0</v>
      </c>
      <c r="H12" s="4">
        <f t="shared" si="0"/>
        <v>0</v>
      </c>
      <c r="J12" s="38">
        <f>+'New Year-Full Year'!U12</f>
        <v>25</v>
      </c>
      <c r="K12" s="38">
        <f>+'New Year-Full Year'!V12</f>
        <v>0</v>
      </c>
      <c r="L12" s="4" t="str">
        <f t="shared" si="1"/>
        <v>NA</v>
      </c>
    </row>
    <row r="13" spans="1:12">
      <c r="A13" s="43">
        <v>7</v>
      </c>
      <c r="C13" s="1" t="str">
        <f>+'New Year-Full Year'!C13</f>
        <v>Lenten Offerings</v>
      </c>
      <c r="E13" s="38">
        <f>+'New Year-Full Year'!P13</f>
        <v>1500</v>
      </c>
      <c r="F13" s="38">
        <f>+'New Year-Full Year'!Q13</f>
        <v>3000</v>
      </c>
      <c r="G13" s="38">
        <f t="shared" si="2"/>
        <v>-1500</v>
      </c>
      <c r="H13" s="4">
        <f t="shared" si="0"/>
        <v>-0.5</v>
      </c>
      <c r="J13" s="38">
        <f>+'New Year-Full Year'!U13</f>
        <v>817</v>
      </c>
      <c r="K13" s="38">
        <f>+'New Year-Full Year'!V13</f>
        <v>3000</v>
      </c>
      <c r="L13" s="4">
        <f t="shared" si="1"/>
        <v>-0.72766666666666668</v>
      </c>
    </row>
    <row r="14" spans="1:12">
      <c r="A14" s="43">
        <v>8</v>
      </c>
      <c r="B14" s="10" t="str">
        <f>+'New Year-Full Year'!B14</f>
        <v>Total Envelope Giving</v>
      </c>
      <c r="C14" s="10"/>
      <c r="D14" s="10"/>
      <c r="E14" s="10">
        <f>SUM(E8:E13)</f>
        <v>466920</v>
      </c>
      <c r="F14" s="10">
        <f>SUM(F8:F13)</f>
        <v>489500</v>
      </c>
      <c r="G14" s="10">
        <f>SUM(G8:G13)</f>
        <v>-22580</v>
      </c>
      <c r="H14" s="11">
        <f t="shared" si="0"/>
        <v>-4.6128702757916244E-2</v>
      </c>
      <c r="J14" s="10">
        <f>SUM(J8:J13)</f>
        <v>391013.64</v>
      </c>
      <c r="K14" s="10">
        <f>SUM(K8:K13)</f>
        <v>405678.07</v>
      </c>
      <c r="L14" s="11">
        <f t="shared" si="1"/>
        <v>-3.6147948544519533E-2</v>
      </c>
    </row>
    <row r="15" spans="1:12" ht="5.25" customHeight="1">
      <c r="A15" s="43">
        <v>9</v>
      </c>
      <c r="H15" s="39"/>
    </row>
    <row r="16" spans="1:12">
      <c r="A16" s="43">
        <v>10</v>
      </c>
      <c r="B16" s="2" t="s">
        <v>7</v>
      </c>
      <c r="H16" s="39"/>
    </row>
    <row r="17" spans="1:12">
      <c r="A17" s="43">
        <v>11</v>
      </c>
      <c r="C17" s="1" t="str">
        <f>+'New Year-Full Year'!C17</f>
        <v>Loose Offerings &amp; Misc.</v>
      </c>
      <c r="E17" s="38">
        <f>+'New Year-Full Year'!P17</f>
        <v>4000</v>
      </c>
      <c r="F17" s="38">
        <f>+'New Year-Full Year'!Q17</f>
        <v>9000</v>
      </c>
      <c r="G17" s="38">
        <f t="shared" ref="G17:G20" si="3">+E17-F17</f>
        <v>-5000</v>
      </c>
      <c r="H17" s="4">
        <f t="shared" ref="H17:H23" si="4">IF(F17=0,"NA",(+E17-F17)/F17)</f>
        <v>-0.55555555555555558</v>
      </c>
      <c r="J17" s="38">
        <f>+'New Year-Full Year'!U17</f>
        <v>59511.68</v>
      </c>
      <c r="K17" s="38">
        <f>+'New Year-Full Year'!V17</f>
        <v>7500</v>
      </c>
      <c r="L17" s="4">
        <f t="shared" ref="L17:L23" si="5">IF(K17=0,"NA",(+J17-K17)/K17)</f>
        <v>6.934890666666667</v>
      </c>
    </row>
    <row r="18" spans="1:12" hidden="1">
      <c r="A18" s="43">
        <v>12</v>
      </c>
      <c r="C18" s="1" t="str">
        <f>+'New Year-Full Year'!C18</f>
        <v>Misc Income</v>
      </c>
      <c r="E18" s="38">
        <f>+'New Year-Full Year'!P18</f>
        <v>0</v>
      </c>
      <c r="F18" s="38">
        <f>+'New Year-Full Year'!Q18</f>
        <v>0</v>
      </c>
      <c r="G18" s="38">
        <f t="shared" si="3"/>
        <v>0</v>
      </c>
      <c r="H18" s="4" t="str">
        <f t="shared" si="4"/>
        <v>NA</v>
      </c>
      <c r="J18" s="38">
        <f>+'New Year-Full Year'!U18</f>
        <v>0</v>
      </c>
      <c r="K18" s="38">
        <f>+'New Year-Full Year'!V18</f>
        <v>0</v>
      </c>
      <c r="L18" s="4" t="str">
        <f t="shared" si="5"/>
        <v>NA</v>
      </c>
    </row>
    <row r="19" spans="1:12" hidden="1">
      <c r="A19" s="43">
        <v>13</v>
      </c>
      <c r="C19" s="1" t="str">
        <f>+'New Year-Full Year'!C19</f>
        <v>Special Appeal</v>
      </c>
      <c r="E19" s="38">
        <f>+'New Year-Full Year'!P19</f>
        <v>0</v>
      </c>
      <c r="F19" s="38">
        <f>+'New Year-Full Year'!Q19</f>
        <v>0</v>
      </c>
      <c r="G19" s="38">
        <f t="shared" si="3"/>
        <v>0</v>
      </c>
      <c r="H19" s="4" t="str">
        <f t="shared" si="4"/>
        <v>NA</v>
      </c>
      <c r="J19" s="38">
        <f>+'New Year-Full Year'!U19</f>
        <v>0</v>
      </c>
      <c r="K19" s="38">
        <f>+'New Year-Full Year'!V19</f>
        <v>0</v>
      </c>
      <c r="L19" s="4" t="str">
        <f t="shared" si="5"/>
        <v>NA</v>
      </c>
    </row>
    <row r="20" spans="1:12">
      <c r="A20" s="43">
        <v>14</v>
      </c>
      <c r="C20" s="1" t="str">
        <f>+'New Year-Full Year'!C20</f>
        <v>Current Investment Income</v>
      </c>
      <c r="E20" s="38">
        <f>+'New Year-Full Year'!P20</f>
        <v>0</v>
      </c>
      <c r="F20" s="38">
        <f>+'New Year-Full Year'!Q20</f>
        <v>0</v>
      </c>
      <c r="G20" s="38">
        <f t="shared" si="3"/>
        <v>0</v>
      </c>
      <c r="H20" s="4" t="str">
        <f t="shared" si="4"/>
        <v>NA</v>
      </c>
      <c r="J20" s="38">
        <f>+'New Year-Full Year'!U20</f>
        <v>0.63</v>
      </c>
      <c r="K20" s="38">
        <f>+'New Year-Full Year'!V20</f>
        <v>0</v>
      </c>
      <c r="L20" s="4" t="str">
        <f t="shared" si="5"/>
        <v>NA</v>
      </c>
    </row>
    <row r="21" spans="1:12" hidden="1">
      <c r="A21" s="43">
        <v>15</v>
      </c>
      <c r="C21" s="1" t="str">
        <f>+'New Year-Full Year'!C21</f>
        <v>Clearing Account</v>
      </c>
      <c r="E21" s="38">
        <f>+'New Year-Full Year'!P21</f>
        <v>0</v>
      </c>
      <c r="F21" s="38">
        <f>+'New Year-Full Year'!Q21</f>
        <v>0</v>
      </c>
      <c r="G21" s="38"/>
      <c r="H21" s="4" t="str">
        <f t="shared" si="4"/>
        <v>NA</v>
      </c>
      <c r="J21" s="38">
        <f>+'New Year-Full Year'!U21</f>
        <v>0</v>
      </c>
      <c r="K21" s="38">
        <f>+'New Year-Full Year'!V21</f>
        <v>0</v>
      </c>
      <c r="L21" s="4" t="str">
        <f t="shared" si="5"/>
        <v>NA</v>
      </c>
    </row>
    <row r="22" spans="1:12">
      <c r="A22" s="43">
        <v>16</v>
      </c>
      <c r="B22" s="10" t="str">
        <f>+'New Year-Full Year'!B22</f>
        <v>Total Misc Income</v>
      </c>
      <c r="C22" s="10"/>
      <c r="D22" s="10"/>
      <c r="E22" s="10">
        <f>SUM(E17:E21)</f>
        <v>4000</v>
      </c>
      <c r="F22" s="10">
        <f>SUM(F17:F21)</f>
        <v>9000</v>
      </c>
      <c r="G22" s="10">
        <f>SUM(G17:G21)</f>
        <v>-5000</v>
      </c>
      <c r="H22" s="11">
        <f t="shared" si="4"/>
        <v>-0.55555555555555558</v>
      </c>
      <c r="J22" s="10">
        <f>SUM(J17:J21)</f>
        <v>59512.31</v>
      </c>
      <c r="K22" s="10">
        <f>SUM(K17:K21)</f>
        <v>7500</v>
      </c>
      <c r="L22" s="11">
        <f t="shared" si="5"/>
        <v>6.9349746666666663</v>
      </c>
    </row>
    <row r="23" spans="1:12">
      <c r="A23" s="43">
        <v>17</v>
      </c>
      <c r="B23" s="10" t="str">
        <f>+'New Year-Full Year'!B23</f>
        <v>TOTAL INCOME</v>
      </c>
      <c r="C23" s="10"/>
      <c r="D23" s="10"/>
      <c r="E23" s="10">
        <f>+E14+E22</f>
        <v>470920</v>
      </c>
      <c r="F23" s="10">
        <f>+F14+F22</f>
        <v>498500</v>
      </c>
      <c r="G23" s="10">
        <f>+G14+G22</f>
        <v>-27580</v>
      </c>
      <c r="H23" s="11">
        <f t="shared" si="4"/>
        <v>-5.5325977933801403E-2</v>
      </c>
      <c r="J23" s="10">
        <f>+J14+J22</f>
        <v>450525.95</v>
      </c>
      <c r="K23" s="10">
        <f>+K14+K22</f>
        <v>413178.07</v>
      </c>
      <c r="L23" s="11">
        <f t="shared" si="5"/>
        <v>9.039172868008219E-2</v>
      </c>
    </row>
    <row r="24" spans="1:12" ht="6" customHeight="1">
      <c r="A24" s="43">
        <v>18</v>
      </c>
      <c r="H24" s="39"/>
    </row>
    <row r="25" spans="1:12" ht="18.5">
      <c r="A25" s="43">
        <v>19</v>
      </c>
      <c r="B25" s="7" t="s">
        <v>12</v>
      </c>
      <c r="H25" s="39"/>
    </row>
    <row r="26" spans="1:12" s="2" customFormat="1">
      <c r="A26" s="43">
        <v>26</v>
      </c>
      <c r="B26" s="12"/>
      <c r="C26" s="12" t="str">
        <f>+'New Year-Full Year'!C42</f>
        <v>5.9% Benevolence</v>
      </c>
      <c r="D26" s="12"/>
      <c r="E26" s="12">
        <f>+'New Year-Full Year'!P42</f>
        <v>27750</v>
      </c>
      <c r="F26" s="12">
        <f>+'New Year-Full Year'!Q42</f>
        <v>40040</v>
      </c>
      <c r="G26" s="12">
        <f t="shared" ref="G26" si="6">+E26-F26</f>
        <v>-12290</v>
      </c>
      <c r="H26" s="14">
        <f>IF(F26=0,"NA",(+E26-F26)/F26)</f>
        <v>-0.30694305694305696</v>
      </c>
      <c r="I26" s="1"/>
      <c r="J26" s="12">
        <f>+'New Year-Full Year'!U42</f>
        <v>32429.200000000001</v>
      </c>
      <c r="K26" s="12">
        <f>+'New Year-Full Year'!V42</f>
        <v>32429.200000000001</v>
      </c>
      <c r="L26" s="14">
        <f>IF(K26=0,"NA",(+J26-K26)/K26)</f>
        <v>0</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863" t="str">
        <f>+'New Year-Full Year'!B45</f>
        <v>Parish Ed</v>
      </c>
      <c r="C29" s="863"/>
      <c r="D29" s="863"/>
      <c r="H29" s="39"/>
    </row>
    <row r="30" spans="1:12">
      <c r="A30" s="43">
        <v>30</v>
      </c>
      <c r="C30" s="1" t="str">
        <f>+'New Year-Full Year'!C46</f>
        <v>Sunday School</v>
      </c>
      <c r="E30" s="38">
        <f>+'New Year-Full Year'!P46</f>
        <v>1500</v>
      </c>
      <c r="F30" s="38">
        <f>+'New Year-Full Year'!Q46</f>
        <v>2300</v>
      </c>
      <c r="G30" s="38">
        <f t="shared" ref="G30:G36" si="7">+E30-F30</f>
        <v>-800</v>
      </c>
      <c r="H30" s="4">
        <f t="shared" ref="H30:H37" si="8">IF(F30=0,"NA",(+E30-F30)/F30)</f>
        <v>-0.34782608695652173</v>
      </c>
      <c r="J30" s="38">
        <f>+'New Year-Full Year'!U46</f>
        <v>770.1</v>
      </c>
      <c r="K30" s="38">
        <f>+'New Year-Full Year'!V46</f>
        <v>1788.88</v>
      </c>
      <c r="L30" s="4">
        <f t="shared" ref="L30:L37" si="9">IF(K30=0,"NA",(+J30-K30)/K30)</f>
        <v>-0.56950717767541703</v>
      </c>
    </row>
    <row r="31" spans="1:12">
      <c r="A31" s="43">
        <v>31</v>
      </c>
      <c r="C31" s="1" t="str">
        <f>+'New Year-Full Year'!C48</f>
        <v>Confirmation</v>
      </c>
      <c r="E31" s="38">
        <f>+'New Year-Full Year'!P48</f>
        <v>1000</v>
      </c>
      <c r="F31" s="38">
        <f>+'New Year-Full Year'!Q48</f>
        <v>1000</v>
      </c>
      <c r="G31" s="38">
        <f t="shared" si="7"/>
        <v>0</v>
      </c>
      <c r="H31" s="4">
        <f t="shared" si="8"/>
        <v>0</v>
      </c>
      <c r="J31" s="38">
        <f>+'New Year-Full Year'!U48</f>
        <v>256.57</v>
      </c>
      <c r="K31" s="38">
        <f>+'New Year-Full Year'!V48</f>
        <v>1000</v>
      </c>
      <c r="L31" s="4">
        <f t="shared" si="9"/>
        <v>-0.74343000000000004</v>
      </c>
    </row>
    <row r="32" spans="1:12">
      <c r="A32" s="43">
        <v>32</v>
      </c>
      <c r="C32" s="1" t="str">
        <f>+'New Year-Full Year'!C50</f>
        <v>Neighborhood Camp</v>
      </c>
      <c r="E32" s="38">
        <f>+'New Year-Full Year'!P50</f>
        <v>250</v>
      </c>
      <c r="F32" s="38">
        <f>+'New Year-Full Year'!Q50</f>
        <v>250</v>
      </c>
      <c r="G32" s="38">
        <f t="shared" si="7"/>
        <v>0</v>
      </c>
      <c r="H32" s="4">
        <f t="shared" si="8"/>
        <v>0</v>
      </c>
      <c r="J32" s="38">
        <f>+'New Year-Full Year'!U50</f>
        <v>0</v>
      </c>
      <c r="K32" s="38">
        <f>+'New Year-Full Year'!V50</f>
        <v>250</v>
      </c>
      <c r="L32" s="4">
        <f t="shared" si="9"/>
        <v>-1</v>
      </c>
    </row>
    <row r="33" spans="1:12">
      <c r="A33" s="43">
        <v>33</v>
      </c>
      <c r="C33" s="1" t="str">
        <f>+'New Year-Full Year'!C52</f>
        <v>Library</v>
      </c>
      <c r="E33" s="38">
        <f>+'New Year-Full Year'!P52</f>
        <v>300</v>
      </c>
      <c r="F33" s="38">
        <f>+'New Year-Full Year'!Q52</f>
        <v>300</v>
      </c>
      <c r="G33" s="38">
        <f t="shared" si="7"/>
        <v>0</v>
      </c>
      <c r="H33" s="4">
        <f t="shared" si="8"/>
        <v>0</v>
      </c>
      <c r="J33" s="38">
        <f>+'New Year-Full Year'!U52</f>
        <v>-85</v>
      </c>
      <c r="K33" s="38">
        <f>+'New Year-Full Year'!V52</f>
        <v>0</v>
      </c>
      <c r="L33" s="4" t="str">
        <f t="shared" si="9"/>
        <v>NA</v>
      </c>
    </row>
    <row r="34" spans="1:12">
      <c r="A34" s="43">
        <v>34</v>
      </c>
      <c r="C34" s="1" t="str">
        <f>+'New Year-Full Year'!C54</f>
        <v>Communion Education</v>
      </c>
      <c r="E34" s="38">
        <f>+'New Year-Full Year'!P54</f>
        <v>200</v>
      </c>
      <c r="F34" s="38">
        <f>+'New Year-Full Year'!Q54</f>
        <v>200</v>
      </c>
      <c r="G34" s="38">
        <f t="shared" si="7"/>
        <v>0</v>
      </c>
      <c r="H34" s="4">
        <f t="shared" si="8"/>
        <v>0</v>
      </c>
      <c r="J34" s="38">
        <f>+'New Year-Full Year'!U54</f>
        <v>68.8</v>
      </c>
      <c r="K34" s="38">
        <f>+'New Year-Full Year'!V54</f>
        <v>200</v>
      </c>
      <c r="L34" s="4">
        <f t="shared" si="9"/>
        <v>-0.65599999999999992</v>
      </c>
    </row>
    <row r="35" spans="1:12">
      <c r="C35" s="1" t="str">
        <f>+'New Year-Full Year'!C56</f>
        <v>Adult Education</v>
      </c>
      <c r="E35" s="38">
        <f>+'New Year-Full Year'!P56</f>
        <v>550</v>
      </c>
      <c r="F35" s="38">
        <f>+'New Year-Full Year'!Q56</f>
        <v>550</v>
      </c>
      <c r="G35" s="38">
        <f t="shared" si="7"/>
        <v>0</v>
      </c>
      <c r="H35" s="4">
        <f t="shared" si="8"/>
        <v>0</v>
      </c>
      <c r="J35" s="38">
        <f>+'New Year-Full Year'!U56</f>
        <v>176.2</v>
      </c>
      <c r="K35" s="38">
        <f>+'New Year-Full Year'!V56</f>
        <v>458.3</v>
      </c>
      <c r="L35" s="4">
        <f>IF(K35=0,"NA",(+J35-K35)/K35)</f>
        <v>-0.61553567532184161</v>
      </c>
    </row>
    <row r="36" spans="1:12">
      <c r="A36" s="43">
        <v>35</v>
      </c>
      <c r="C36" s="1" t="str">
        <f>+'New Year-Full Year'!C58</f>
        <v>Cradle Roll</v>
      </c>
      <c r="E36" s="38">
        <f>+'New Year-Full Year'!P58</f>
        <v>250</v>
      </c>
      <c r="F36" s="38">
        <f>+'New Year-Full Year'!Q58</f>
        <v>250</v>
      </c>
      <c r="G36" s="38">
        <f t="shared" si="7"/>
        <v>0</v>
      </c>
      <c r="H36" s="4">
        <f t="shared" si="8"/>
        <v>0</v>
      </c>
      <c r="J36" s="38">
        <f>+'New Year-Full Year'!U58</f>
        <v>0</v>
      </c>
      <c r="K36" s="38">
        <f>+'New Year-Full Year'!V58</f>
        <v>208.3</v>
      </c>
      <c r="L36" s="4">
        <f t="shared" si="9"/>
        <v>-1</v>
      </c>
    </row>
    <row r="37" spans="1:12" s="2" customFormat="1">
      <c r="A37" s="43">
        <v>36</v>
      </c>
      <c r="B37" s="37" t="str">
        <f>+'New Year-Full Year'!B60</f>
        <v>Total Parish Ed</v>
      </c>
      <c r="C37" s="37"/>
      <c r="D37" s="37"/>
      <c r="E37" s="37">
        <f>SUM(E30:E36)</f>
        <v>4050</v>
      </c>
      <c r="F37" s="37">
        <f>SUM(F30:F36)</f>
        <v>4850</v>
      </c>
      <c r="G37" s="37">
        <f>SUM(G30:G36)</f>
        <v>-800</v>
      </c>
      <c r="H37" s="21">
        <f t="shared" si="8"/>
        <v>-0.16494845360824742</v>
      </c>
      <c r="J37" s="37">
        <f>SUM(J30:J36)</f>
        <v>1186.67</v>
      </c>
      <c r="K37" s="37">
        <f>SUM(K30:K36)</f>
        <v>3905.4800000000005</v>
      </c>
      <c r="L37" s="21">
        <f t="shared" si="9"/>
        <v>-0.69615258559767301</v>
      </c>
    </row>
    <row r="38" spans="1:12" ht="6" customHeight="1">
      <c r="A38" s="43">
        <v>37</v>
      </c>
      <c r="H38" s="39"/>
    </row>
    <row r="39" spans="1:12">
      <c r="A39" s="43">
        <v>40</v>
      </c>
      <c r="B39" s="2" t="str">
        <f>+'New Year-Full Year'!B62</f>
        <v>Worship</v>
      </c>
      <c r="H39" s="39"/>
    </row>
    <row r="40" spans="1:12">
      <c r="A40" s="43">
        <v>41</v>
      </c>
      <c r="C40" s="1" t="str">
        <f>+'New Year-Full Year'!C63</f>
        <v>Worship Supplies</v>
      </c>
      <c r="E40" s="38">
        <f>+'New Year-Full Year'!P63</f>
        <v>3500</v>
      </c>
      <c r="F40" s="38">
        <f>+'New Year-Full Year'!Q63</f>
        <v>3500</v>
      </c>
      <c r="G40" s="38">
        <f t="shared" ref="G40:G42" si="10">+E40-F40</f>
        <v>0</v>
      </c>
      <c r="H40" s="4">
        <f>IF(F40=0,"NA",(+E40-F40)/F40)</f>
        <v>0</v>
      </c>
      <c r="J40" s="38">
        <f>+'New Year-Full Year'!U63</f>
        <v>2038.25</v>
      </c>
      <c r="K40" s="38">
        <f>+'New Year-Full Year'!V63</f>
        <v>2916.7</v>
      </c>
      <c r="L40" s="4">
        <f>IF(K40=0,"NA",(+J40-K40)/K40)</f>
        <v>-0.30117941509239893</v>
      </c>
    </row>
    <row r="41" spans="1:12">
      <c r="A41" s="43">
        <v>43</v>
      </c>
      <c r="C41" s="1" t="str">
        <f>+'New Year-Full Year'!C64</f>
        <v>Children's Services</v>
      </c>
      <c r="E41" s="38">
        <f>+'New Year-Full Year'!P64</f>
        <v>100</v>
      </c>
      <c r="F41" s="38">
        <f>+'New Year-Full Year'!Q64</f>
        <v>100</v>
      </c>
      <c r="G41" s="38">
        <f t="shared" si="10"/>
        <v>0</v>
      </c>
      <c r="H41" s="4">
        <f>IF(F41=0,"NA",(+E41-F41)/F41)</f>
        <v>0</v>
      </c>
      <c r="J41" s="38">
        <f>+'New Year-Full Year'!U64</f>
        <v>0</v>
      </c>
      <c r="K41" s="38">
        <f>+'New Year-Full Year'!V64</f>
        <v>83.3</v>
      </c>
      <c r="L41" s="4">
        <f>IF(K41=0,"NA",(+J41-K41)/K41)</f>
        <v>-1</v>
      </c>
    </row>
    <row r="42" spans="1:12">
      <c r="A42" s="43">
        <v>44</v>
      </c>
      <c r="C42" s="1" t="str">
        <f>+'New Year-Full Year'!C65</f>
        <v>Flowers</v>
      </c>
      <c r="E42" s="38">
        <f>+'New Year-Full Year'!P65</f>
        <v>200</v>
      </c>
      <c r="F42" s="38">
        <f>+'New Year-Full Year'!Q65</f>
        <v>200</v>
      </c>
      <c r="G42" s="38">
        <f t="shared" si="10"/>
        <v>0</v>
      </c>
      <c r="H42" s="4">
        <f>IF(F42=0,"NA",(+E42-F42)/F42)</f>
        <v>0</v>
      </c>
      <c r="J42" s="38">
        <f>+'New Year-Full Year'!U65</f>
        <v>3</v>
      </c>
      <c r="K42" s="38">
        <f>+'New Year-Full Year'!V65</f>
        <v>166.7</v>
      </c>
      <c r="L42" s="4">
        <f>IF(K42=0,"NA",(+J42-K42)/K42)</f>
        <v>-0.98200359928014402</v>
      </c>
    </row>
    <row r="43" spans="1:12" s="2" customFormat="1">
      <c r="A43" s="43">
        <v>45</v>
      </c>
      <c r="B43" s="37" t="str">
        <f>+'New Year-Full Year'!B66</f>
        <v>Total Worship</v>
      </c>
      <c r="C43" s="37"/>
      <c r="D43" s="37"/>
      <c r="E43" s="37">
        <f>SUM(E40:E42)</f>
        <v>3800</v>
      </c>
      <c r="F43" s="37">
        <f>SUM(F40:F42)</f>
        <v>3800</v>
      </c>
      <c r="G43" s="37">
        <f>SUM(G40:G42)</f>
        <v>0</v>
      </c>
      <c r="H43" s="21">
        <f>IF(F43=0,"NA",(+E43-F43)/F43)</f>
        <v>0</v>
      </c>
      <c r="J43" s="37">
        <f>SUM(J40:J42)</f>
        <v>2041.25</v>
      </c>
      <c r="K43" s="37">
        <f>SUM(K40:K42)</f>
        <v>3166.7</v>
      </c>
      <c r="L43" s="21">
        <f>IF(K43=0,"NA",(+J43-K43)/K43)</f>
        <v>-0.35540152208924114</v>
      </c>
    </row>
    <row r="44" spans="1:12" ht="6.75" customHeight="1">
      <c r="A44" s="43">
        <v>46</v>
      </c>
      <c r="H44" s="39"/>
    </row>
    <row r="45" spans="1:12" s="2" customFormat="1">
      <c r="A45" s="43">
        <v>51</v>
      </c>
      <c r="B45" s="37" t="str">
        <f>+'New Year-Full Year'!B68</f>
        <v>Youth</v>
      </c>
      <c r="C45" s="37"/>
      <c r="D45" s="37"/>
      <c r="E45" s="37">
        <f>+'New Year-Full Year'!P68</f>
        <v>8000</v>
      </c>
      <c r="F45" s="37">
        <f>+'New Year-Full Year'!Q68</f>
        <v>12800</v>
      </c>
      <c r="G45" s="37">
        <f t="shared" ref="G45" si="11">+E45-F45</f>
        <v>-4800</v>
      </c>
      <c r="H45" s="21">
        <f>IF(F45=0,"NA",(+E45-F45)/F45)</f>
        <v>-0.375</v>
      </c>
      <c r="J45" s="37">
        <f>+'New Year-Full Year'!U68</f>
        <v>1094.4000000000001</v>
      </c>
      <c r="K45" s="37">
        <f>+'New Year-Full Year'!V68</f>
        <v>10666.7</v>
      </c>
      <c r="L45" s="21">
        <f>IF(K45=0,"NA",(+J45-K45)/K45)</f>
        <v>-0.8974003206239981</v>
      </c>
    </row>
    <row r="46" spans="1:12" ht="6.75" customHeight="1">
      <c r="A46" s="43">
        <v>52</v>
      </c>
      <c r="H46" s="39"/>
    </row>
    <row r="47" spans="1:12">
      <c r="A47" s="43">
        <v>53</v>
      </c>
      <c r="B47" s="2" t="str">
        <f>+'New Year-Full Year'!B70</f>
        <v>Church Membership</v>
      </c>
      <c r="H47" s="39"/>
    </row>
    <row r="48" spans="1:12">
      <c r="A48" s="43">
        <v>54</v>
      </c>
      <c r="C48" s="1" t="str">
        <f>+'New Year-Full Year'!C71</f>
        <v>Church Membership Activities</v>
      </c>
      <c r="E48" s="38">
        <f>+'New Year-Full Year'!P71</f>
        <v>400</v>
      </c>
      <c r="F48" s="38">
        <f>+'New Year-Full Year'!Q71</f>
        <v>400</v>
      </c>
      <c r="G48" s="38">
        <f t="shared" ref="G48:G49" si="12">+E48-F48</f>
        <v>0</v>
      </c>
      <c r="H48" s="4">
        <f>IF(F48=0,"NA",(+E48-F48)/F48)</f>
        <v>0</v>
      </c>
      <c r="J48" s="38">
        <f>+'New Year-Full Year'!U71</f>
        <v>0</v>
      </c>
      <c r="K48" s="38">
        <f>+'New Year-Full Year'!V71</f>
        <v>333.3</v>
      </c>
      <c r="L48" s="4">
        <f>IF(K48=0,"NA",(+J48-K48)/K48)</f>
        <v>-1</v>
      </c>
    </row>
    <row r="49" spans="1:12">
      <c r="A49" s="43">
        <v>55</v>
      </c>
      <c r="C49" s="1" t="str">
        <f>+'New Year-Full Year'!C73</f>
        <v>Sunday Coffee</v>
      </c>
      <c r="E49" s="38">
        <f>+'New Year-Full Year'!P73</f>
        <v>150</v>
      </c>
      <c r="F49" s="38">
        <f>+'New Year-Full Year'!Q73</f>
        <v>150</v>
      </c>
      <c r="G49" s="38">
        <f t="shared" si="12"/>
        <v>0</v>
      </c>
      <c r="H49" s="4">
        <f>IF(F49=0,"NA",(+E49-F49)/F49)</f>
        <v>0</v>
      </c>
      <c r="J49" s="38">
        <f>+'New Year-Full Year'!U73</f>
        <v>0</v>
      </c>
      <c r="K49" s="38">
        <f>+'New Year-Full Year'!V73</f>
        <v>125</v>
      </c>
      <c r="L49" s="4">
        <f>IF(K49=0,"NA",(+J49-K49)/K49)</f>
        <v>-1</v>
      </c>
    </row>
    <row r="50" spans="1:12" s="2" customFormat="1">
      <c r="A50" s="43">
        <v>56</v>
      </c>
      <c r="B50" s="37" t="str">
        <f>+'New Year-Full Year'!B74</f>
        <v>Total Church Membership</v>
      </c>
      <c r="C50" s="37"/>
      <c r="D50" s="37"/>
      <c r="E50" s="37">
        <f>SUM(E48:E49)</f>
        <v>550</v>
      </c>
      <c r="F50" s="37">
        <f>SUM(F48:F49)</f>
        <v>550</v>
      </c>
      <c r="G50" s="37">
        <f>SUM(G48:G49)</f>
        <v>0</v>
      </c>
      <c r="H50" s="21">
        <f>IF(F50=0,"NA",(+E50-F50)/F50)</f>
        <v>0</v>
      </c>
      <c r="J50" s="37">
        <f>SUM(J48:J49)</f>
        <v>0</v>
      </c>
      <c r="K50" s="37">
        <f>SUM(K48:K49)</f>
        <v>458.3</v>
      </c>
      <c r="L50" s="21">
        <f>IF(K50=0,"NA",(+J50-K50)/K50)</f>
        <v>-1</v>
      </c>
    </row>
    <row r="51" spans="1:12" ht="5.25" customHeight="1">
      <c r="A51" s="43">
        <v>57</v>
      </c>
      <c r="H51" s="39"/>
    </row>
    <row r="52" spans="1:12">
      <c r="A52" s="43">
        <v>58</v>
      </c>
      <c r="B52" s="37" t="str">
        <f>+'New Year-Full Year'!B76</f>
        <v>Church &amp; Community Outreach</v>
      </c>
      <c r="C52" s="22"/>
      <c r="D52" s="22"/>
      <c r="E52" s="45">
        <f>+'New Year-Full Year'!P76</f>
        <v>200</v>
      </c>
      <c r="F52" s="45">
        <f>+'New Year-Full Year'!Q76</f>
        <v>200</v>
      </c>
      <c r="G52" s="37">
        <f t="shared" ref="G52" si="13">+E52-F52</f>
        <v>0</v>
      </c>
      <c r="H52" s="21">
        <f>IF(F52=0,"NA",(+E52-F52)/F52)</f>
        <v>0</v>
      </c>
      <c r="J52" s="45">
        <f>+'New Year-Full Year'!U76</f>
        <v>0</v>
      </c>
      <c r="K52" s="45">
        <f>+'New Year-Full Year'!V76</f>
        <v>166.7</v>
      </c>
      <c r="L52" s="21">
        <f>IF(K52=0,"NA",(+J52-K52)/K52)</f>
        <v>-1</v>
      </c>
    </row>
    <row r="53" spans="1:12" ht="6" customHeight="1">
      <c r="A53" s="43">
        <v>59</v>
      </c>
      <c r="H53" s="39"/>
    </row>
    <row r="54" spans="1:12">
      <c r="A54" s="43">
        <v>60</v>
      </c>
      <c r="B54" s="2" t="str">
        <f>+'New Year-Full Year'!B78</f>
        <v>Misc Programs</v>
      </c>
      <c r="H54" s="39"/>
    </row>
    <row r="55" spans="1:12">
      <c r="A55" s="43">
        <v>61</v>
      </c>
      <c r="C55" s="1" t="str">
        <f>+'New Year-Full Year'!C79</f>
        <v>Stewardship</v>
      </c>
      <c r="E55" s="38">
        <f>+'New Year-Full Year'!P79</f>
        <v>200</v>
      </c>
      <c r="F55" s="38">
        <f>+'New Year-Full Year'!Q79</f>
        <v>200</v>
      </c>
      <c r="G55" s="38">
        <f t="shared" ref="G55:G60" si="14">+E55-F55</f>
        <v>0</v>
      </c>
      <c r="H55" s="4">
        <f t="shared" ref="H55:H61" si="15">IF(F55=0,"NA",(+E55-F55)/F55)</f>
        <v>0</v>
      </c>
      <c r="J55" s="38">
        <f>+'New Year-Full Year'!U79</f>
        <v>450</v>
      </c>
      <c r="K55" s="38">
        <f>+'New Year-Full Year'!V79</f>
        <v>200</v>
      </c>
      <c r="L55" s="4">
        <f t="shared" ref="L55:L61" si="16">IF(K55=0,"NA",(+J55-K55)/K55)</f>
        <v>1.25</v>
      </c>
    </row>
    <row r="56" spans="1:12">
      <c r="A56" s="43">
        <v>62</v>
      </c>
      <c r="C56" s="1" t="str">
        <f>+'New Year-Full Year'!C80</f>
        <v>Envelopes, Giving</v>
      </c>
      <c r="E56" s="38">
        <f>+'New Year-Full Year'!P80</f>
        <v>300</v>
      </c>
      <c r="F56" s="38">
        <f>+'New Year-Full Year'!Q80</f>
        <v>500</v>
      </c>
      <c r="G56" s="38">
        <f t="shared" si="14"/>
        <v>-200</v>
      </c>
      <c r="H56" s="4">
        <f t="shared" si="15"/>
        <v>-0.4</v>
      </c>
      <c r="J56" s="38">
        <f>+'New Year-Full Year'!U80</f>
        <v>0</v>
      </c>
      <c r="K56" s="38">
        <f>+'New Year-Full Year'!V80</f>
        <v>500</v>
      </c>
      <c r="L56" s="4">
        <f t="shared" si="16"/>
        <v>-1</v>
      </c>
    </row>
    <row r="57" spans="1:12">
      <c r="A57" s="43">
        <v>63</v>
      </c>
      <c r="C57" s="1" t="str">
        <f>+'New Year-Full Year'!C82</f>
        <v>Synod Assembly</v>
      </c>
      <c r="E57" s="38">
        <f>+'New Year-Full Year'!P82</f>
        <v>1000</v>
      </c>
      <c r="F57" s="38">
        <f>+'New Year-Full Year'!Q82</f>
        <v>1000</v>
      </c>
      <c r="G57" s="38">
        <f t="shared" si="14"/>
        <v>0</v>
      </c>
      <c r="H57" s="4">
        <f t="shared" si="15"/>
        <v>0</v>
      </c>
      <c r="J57" s="38">
        <f>+'New Year-Full Year'!U82</f>
        <v>654</v>
      </c>
      <c r="K57" s="38">
        <f>+'New Year-Full Year'!V82</f>
        <v>1000</v>
      </c>
      <c r="L57" s="4">
        <f t="shared" si="16"/>
        <v>-0.34599999999999997</v>
      </c>
    </row>
    <row r="58" spans="1:12">
      <c r="A58" s="43">
        <v>64</v>
      </c>
      <c r="C58" s="1" t="str">
        <f>+'New Year-Full Year'!C83</f>
        <v>Evangelism</v>
      </c>
      <c r="E58" s="38">
        <f>+'New Year-Full Year'!P83</f>
        <v>2000</v>
      </c>
      <c r="F58" s="38">
        <f>+'New Year-Full Year'!Q83</f>
        <v>3000</v>
      </c>
      <c r="G58" s="38">
        <f t="shared" si="14"/>
        <v>-1000</v>
      </c>
      <c r="H58" s="4">
        <f t="shared" si="15"/>
        <v>-0.33333333333333331</v>
      </c>
      <c r="J58" s="38">
        <f>+'New Year-Full Year'!U83</f>
        <v>322.07</v>
      </c>
      <c r="K58" s="38">
        <f>+'New Year-Full Year'!V83</f>
        <v>2500</v>
      </c>
      <c r="L58" s="4">
        <f t="shared" si="16"/>
        <v>-0.87117199999999995</v>
      </c>
    </row>
    <row r="59" spans="1:12">
      <c r="C59" s="1" t="str">
        <f>+'New Year-Full Year'!C84</f>
        <v>Other Programs</v>
      </c>
      <c r="E59" s="38">
        <f>+'New Year-Full Year'!P84</f>
        <v>200</v>
      </c>
      <c r="F59" s="38">
        <f>+'New Year-Full Year'!Q84</f>
        <v>200</v>
      </c>
      <c r="G59" s="38">
        <f t="shared" si="14"/>
        <v>0</v>
      </c>
      <c r="H59" s="4">
        <f>IF(F59=0,"NA",(+E59-F59)/F59)</f>
        <v>0</v>
      </c>
      <c r="J59" s="38">
        <f>+'New Year-Full Year'!U84</f>
        <v>0</v>
      </c>
      <c r="K59" s="38">
        <f>+'New Year-Full Year'!V84</f>
        <v>166.7</v>
      </c>
      <c r="L59" s="4">
        <f>IF(K59=0,"NA",(+J59-K59)/K59)</f>
        <v>-1</v>
      </c>
    </row>
    <row r="60" spans="1:12">
      <c r="A60" s="43">
        <v>65</v>
      </c>
      <c r="C60" s="1" t="str">
        <f>+'New Year-Full Year'!C85</f>
        <v>Organ/Piano Maintenance</v>
      </c>
      <c r="E60" s="38">
        <f>+'New Year-Full Year'!P85</f>
        <v>1575</v>
      </c>
      <c r="F60" s="38">
        <f>+'New Year-Full Year'!Q85</f>
        <v>1575</v>
      </c>
      <c r="G60" s="38">
        <f t="shared" si="14"/>
        <v>0</v>
      </c>
      <c r="H60" s="4">
        <f t="shared" si="15"/>
        <v>0</v>
      </c>
      <c r="J60" s="38">
        <f>+'New Year-Full Year'!U85</f>
        <v>286.25</v>
      </c>
      <c r="K60" s="38">
        <f>+'New Year-Full Year'!V85</f>
        <v>1312.5</v>
      </c>
      <c r="L60" s="4">
        <f t="shared" si="16"/>
        <v>-0.78190476190476188</v>
      </c>
    </row>
    <row r="61" spans="1:12" s="2" customFormat="1">
      <c r="A61" s="43">
        <v>66</v>
      </c>
      <c r="B61" s="37" t="str">
        <f>+'New Year-Full Year'!B87</f>
        <v>Total Misc Programs</v>
      </c>
      <c r="C61" s="37"/>
      <c r="D61" s="37"/>
      <c r="E61" s="37">
        <f>SUM(E55:E60)</f>
        <v>5275</v>
      </c>
      <c r="F61" s="37">
        <f>SUM(F55:F60)</f>
        <v>6475</v>
      </c>
      <c r="G61" s="37">
        <f>SUM(G55:G60)</f>
        <v>-1200</v>
      </c>
      <c r="H61" s="21">
        <f t="shared" si="15"/>
        <v>-0.18532818532818532</v>
      </c>
      <c r="J61" s="37">
        <f>SUM(J55:J60)</f>
        <v>1712.32</v>
      </c>
      <c r="K61" s="37">
        <f>SUM(K55:K60)</f>
        <v>5679.2</v>
      </c>
      <c r="L61" s="21">
        <f t="shared" si="16"/>
        <v>-0.69849274545710671</v>
      </c>
    </row>
    <row r="62" spans="1:12" ht="6" customHeight="1">
      <c r="A62" s="43">
        <v>67</v>
      </c>
      <c r="H62" s="39"/>
    </row>
    <row r="63" spans="1:12">
      <c r="A63" s="43">
        <v>68</v>
      </c>
      <c r="B63" s="2" t="str">
        <f>+'New Year-Full Year'!B89</f>
        <v>Office Expense</v>
      </c>
      <c r="H63" s="39"/>
    </row>
    <row r="64" spans="1:12">
      <c r="A64" s="43">
        <v>69</v>
      </c>
      <c r="C64" s="1" t="str">
        <f>+'New Year-Full Year'!C90</f>
        <v>Office Supplies</v>
      </c>
      <c r="E64" s="38">
        <f>+'New Year-Full Year'!P90</f>
        <v>2500</v>
      </c>
      <c r="F64" s="38">
        <f>+'New Year-Full Year'!Q90</f>
        <v>3500</v>
      </c>
      <c r="G64" s="38">
        <f t="shared" ref="G64:G69" si="17">+E64-F64</f>
        <v>-1000</v>
      </c>
      <c r="H64" s="4">
        <f t="shared" ref="H64:H71" si="18">IF(F64=0,"NA",(+E64-F64)/F64)</f>
        <v>-0.2857142857142857</v>
      </c>
      <c r="J64" s="38">
        <f>+'New Year-Full Year'!U90</f>
        <v>1908.94</v>
      </c>
      <c r="K64" s="38">
        <f>+'New Year-Full Year'!V90</f>
        <v>2916.7</v>
      </c>
      <c r="L64" s="4">
        <f t="shared" ref="L64:L71" si="19">IF(K64=0,"NA",(+J64-K64)/K64)</f>
        <v>-0.345513765556965</v>
      </c>
    </row>
    <row r="65" spans="1:13">
      <c r="A65" s="43">
        <v>70</v>
      </c>
      <c r="C65" s="1" t="str">
        <f>+'New Year-Full Year'!C91</f>
        <v>Postage</v>
      </c>
      <c r="E65" s="38">
        <f>+'New Year-Full Year'!P91</f>
        <v>2300</v>
      </c>
      <c r="F65" s="38">
        <f>+'New Year-Full Year'!Q91</f>
        <v>2250</v>
      </c>
      <c r="G65" s="38">
        <f t="shared" si="17"/>
        <v>50</v>
      </c>
      <c r="H65" s="4">
        <f t="shared" si="18"/>
        <v>2.2222222222222223E-2</v>
      </c>
      <c r="J65" s="38">
        <f>+'New Year-Full Year'!U91</f>
        <v>2403.44</v>
      </c>
      <c r="K65" s="38">
        <f>+'New Year-Full Year'!V91</f>
        <v>1875</v>
      </c>
      <c r="L65" s="4">
        <f t="shared" si="19"/>
        <v>0.28183466666666668</v>
      </c>
    </row>
    <row r="66" spans="1:13">
      <c r="A66" s="43">
        <v>73</v>
      </c>
      <c r="C66" s="1" t="str">
        <f>+'New Year-Full Year'!C92</f>
        <v>Office Equipment/Computer</v>
      </c>
      <c r="E66" s="38">
        <f>+'New Year-Full Year'!P92</f>
        <v>11000</v>
      </c>
      <c r="F66" s="38">
        <f>+'New Year-Full Year'!Q92</f>
        <v>13000</v>
      </c>
      <c r="G66" s="38">
        <f t="shared" si="17"/>
        <v>-2000</v>
      </c>
      <c r="H66" s="4">
        <f t="shared" si="18"/>
        <v>-0.15384615384615385</v>
      </c>
      <c r="J66" s="38">
        <f>+'New Year-Full Year'!U92</f>
        <v>8976.7199999999993</v>
      </c>
      <c r="K66" s="38">
        <f>+'New Year-Full Year'!V92</f>
        <v>10833.3</v>
      </c>
      <c r="L66" s="4">
        <f t="shared" si="19"/>
        <v>-0.17137714269890061</v>
      </c>
    </row>
    <row r="67" spans="1:13">
      <c r="A67" s="43">
        <v>74</v>
      </c>
      <c r="C67" s="1" t="str">
        <f>+'New Year-Full Year'!C94</f>
        <v>Kitchen Supplies</v>
      </c>
      <c r="E67" s="38">
        <f>+'New Year-Full Year'!P94</f>
        <v>800</v>
      </c>
      <c r="F67" s="38">
        <f>+'New Year-Full Year'!Q94</f>
        <v>1200</v>
      </c>
      <c r="G67" s="38">
        <f t="shared" si="17"/>
        <v>-400</v>
      </c>
      <c r="H67" s="4">
        <f t="shared" si="18"/>
        <v>-0.33333333333333331</v>
      </c>
      <c r="J67" s="38">
        <f>+'New Year-Full Year'!U94</f>
        <v>0</v>
      </c>
      <c r="K67" s="38">
        <f>+'New Year-Full Year'!V94</f>
        <v>1000</v>
      </c>
      <c r="L67" s="4">
        <f t="shared" si="19"/>
        <v>-1</v>
      </c>
    </row>
    <row r="68" spans="1:13">
      <c r="A68" s="43">
        <v>75</v>
      </c>
      <c r="C68" s="1" t="str">
        <f>+'New Year-Full Year'!C95</f>
        <v>Bank Fees</v>
      </c>
      <c r="E68" s="38">
        <f>+'New Year-Full Year'!P95</f>
        <v>1700</v>
      </c>
      <c r="F68" s="38">
        <f>+'New Year-Full Year'!Q95</f>
        <v>1700</v>
      </c>
      <c r="G68" s="38">
        <f t="shared" si="17"/>
        <v>0</v>
      </c>
      <c r="H68" s="4">
        <f t="shared" si="18"/>
        <v>0</v>
      </c>
      <c r="J68" s="38">
        <f>+'New Year-Full Year'!U95</f>
        <v>1406.78</v>
      </c>
      <c r="K68" s="38">
        <f>+'New Year-Full Year'!V95</f>
        <v>1416.7</v>
      </c>
      <c r="L68" s="4">
        <f t="shared" si="19"/>
        <v>-7.0021881838074913E-3</v>
      </c>
    </row>
    <row r="69" spans="1:13">
      <c r="A69" s="43">
        <v>76</v>
      </c>
      <c r="C69" s="1" t="str">
        <f>+'New Year-Full Year'!C96</f>
        <v>Professional Fees</v>
      </c>
      <c r="E69" s="38">
        <f>+'New Year-Full Year'!P96</f>
        <v>1500</v>
      </c>
      <c r="F69" s="38">
        <f>+'New Year-Full Year'!Q96</f>
        <v>2500</v>
      </c>
      <c r="G69" s="38">
        <f t="shared" si="17"/>
        <v>-1000</v>
      </c>
      <c r="H69" s="4">
        <f>IF(F69=0,"NA",(+E69-F69)/F69)</f>
        <v>-0.4</v>
      </c>
      <c r="J69" s="38">
        <f>+'New Year-Full Year'!U96</f>
        <v>500</v>
      </c>
      <c r="K69" s="38">
        <f>+'New Year-Full Year'!V96</f>
        <v>2083.3000000000002</v>
      </c>
      <c r="L69" s="4">
        <f>IF(K69=0,"NA",(+J69-K69)/K69)</f>
        <v>-0.75999615993855907</v>
      </c>
    </row>
    <row r="70" spans="1:13" s="2" customFormat="1">
      <c r="A70" s="43">
        <v>76</v>
      </c>
      <c r="B70" s="37" t="str">
        <f>+'New Year-Full Year'!B98</f>
        <v>Total Office Expense</v>
      </c>
      <c r="C70" s="37"/>
      <c r="D70" s="37"/>
      <c r="E70" s="37">
        <f>SUM(E64:E69)</f>
        <v>19800</v>
      </c>
      <c r="F70" s="37">
        <f>SUM(F64:F69)</f>
        <v>24150</v>
      </c>
      <c r="G70" s="37">
        <f>SUM(G64:G69)</f>
        <v>-4350</v>
      </c>
      <c r="H70" s="21">
        <f t="shared" si="18"/>
        <v>-0.18012422360248448</v>
      </c>
      <c r="J70" s="37">
        <f>SUM(J64:J69)</f>
        <v>15195.88</v>
      </c>
      <c r="K70" s="37">
        <f>SUM(K64:K69)</f>
        <v>20125</v>
      </c>
      <c r="L70" s="21">
        <f t="shared" si="19"/>
        <v>-0.24492521739130438</v>
      </c>
    </row>
    <row r="71" spans="1:13">
      <c r="A71" s="43">
        <v>77</v>
      </c>
      <c r="B71" s="37" t="str">
        <f>+'New Year-Full Year'!B99</f>
        <v>TOTAL PROGRAMS</v>
      </c>
      <c r="C71" s="23"/>
      <c r="D71" s="23"/>
      <c r="E71" s="37">
        <f>+E37+E43+E45+E52+E61+E70+E50</f>
        <v>41675</v>
      </c>
      <c r="F71" s="37">
        <f>+F37+F43+F45+F52+F61+F70+F50</f>
        <v>52825</v>
      </c>
      <c r="G71" s="37">
        <f>+G37+G43+G45+G52+G61+G70+G50</f>
        <v>-11150</v>
      </c>
      <c r="H71" s="21">
        <f t="shared" si="18"/>
        <v>-0.21107430194036914</v>
      </c>
      <c r="J71" s="37">
        <f>+J37+J43+J45+J52+J61+J70+J50</f>
        <v>21230.519999999997</v>
      </c>
      <c r="K71" s="37">
        <f>+K37+K43+K45+K52+K61+K70+K50</f>
        <v>44168.08</v>
      </c>
      <c r="L71" s="21">
        <f t="shared" si="19"/>
        <v>-0.51932436275246752</v>
      </c>
    </row>
    <row r="72" spans="1:13" ht="8.25" customHeight="1">
      <c r="A72" s="43">
        <v>78</v>
      </c>
      <c r="H72" s="39"/>
    </row>
    <row r="73" spans="1:13" ht="18.5">
      <c r="A73" s="43">
        <v>79</v>
      </c>
      <c r="B73" s="7" t="s">
        <v>38</v>
      </c>
      <c r="H73" s="39"/>
    </row>
    <row r="74" spans="1:13" hidden="1">
      <c r="B74" s="2" t="s">
        <v>330</v>
      </c>
      <c r="H74" s="39"/>
    </row>
    <row r="75" spans="1:13" hidden="1">
      <c r="A75" s="43">
        <v>81</v>
      </c>
      <c r="C75" s="854" t="s">
        <v>403</v>
      </c>
      <c r="D75" s="854"/>
      <c r="E75" s="38">
        <f>+'New Year-Full Year'!P$102+'New Year-Full Year'!P$129+'New Year-Full Year'!P$145+SUM('New Year-Full Year'!P$148:P$151)+SUM('New Year-Full Year'!P$156:P$157)+'New Year-Full Year'!P$160</f>
        <v>197370</v>
      </c>
      <c r="F75" s="38">
        <f>+'New Year-Full Year'!Q$102+'New Year-Full Year'!Q$129+'New Year-Full Year'!Q$145+SUM('New Year-Full Year'!Q$148:Q$151)+SUM('New Year-Full Year'!Q$156:Q$157)+'New Year-Full Year'!Q$160</f>
        <v>213262</v>
      </c>
      <c r="G75" s="38">
        <f t="shared" ref="G75:G76" si="20">+E75-F75</f>
        <v>-15892</v>
      </c>
      <c r="H75" s="4">
        <f>IF(F75=0,"NA",(+E75-F75)/F75)</f>
        <v>-7.4518667179338097E-2</v>
      </c>
      <c r="J75" s="38">
        <f>+'New Year-Full Year'!U$102+'New Year-Full Year'!U$129+'New Year-Full Year'!U$145+SUM('New Year-Full Year'!U$148:U$151)+SUM('New Year-Full Year'!U$156:U$157)+'New Year-Full Year'!U$160</f>
        <v>135895.74000000002</v>
      </c>
      <c r="K75" s="38">
        <f>+'New Year-Full Year'!V$102+'New Year-Full Year'!V$129+'New Year-Full Year'!V$145+SUM('New Year-Full Year'!V$148:V$151)+SUM('New Year-Full Year'!V$156:V$157)+'New Year-Full Year'!V$160</f>
        <v>177017.97</v>
      </c>
      <c r="L75" s="4">
        <f>IF(K75=0,"NA",(+J75-K75)/K75)</f>
        <v>-0.23230539814686599</v>
      </c>
    </row>
    <row r="76" spans="1:13" hidden="1">
      <c r="A76" s="43">
        <v>83</v>
      </c>
      <c r="C76" s="1" t="s">
        <v>101</v>
      </c>
      <c r="E76" s="38">
        <f>SUM('New Year-Full Year'!P104:P112)+'New Year-Full Year'!P154+'New Year-Full Year'!P155+'New Year-Full Year'!P158+'New Year-Full Year'!P159</f>
        <v>43751</v>
      </c>
      <c r="F76" s="38">
        <f>SUM('New Year-Full Year'!Q104:Q112)+'New Year-Full Year'!Q154+'New Year-Full Year'!Q155+'New Year-Full Year'!Q158+'New Year-Full Year'!Q159</f>
        <v>42952</v>
      </c>
      <c r="G76" s="38">
        <f t="shared" si="20"/>
        <v>799</v>
      </c>
      <c r="H76" s="4">
        <f>IF(F76=0,"NA",(+E76-F76)/F76)</f>
        <v>1.8602160551313095E-2</v>
      </c>
      <c r="J76" s="38">
        <f>SUM('New Year-Full Year'!U104:U112)+'New Year-Full Year'!U154+'New Year-Full Year'!U155+'New Year-Full Year'!U158+'New Year-Full Year'!U159</f>
        <v>27848.89</v>
      </c>
      <c r="K76" s="38">
        <f>SUM('New Year-Full Year'!V104:V112)+'New Year-Full Year'!V154+'New Year-Full Year'!V155+'New Year-Full Year'!V158+'New Year-Full Year'!V159</f>
        <v>35449.1</v>
      </c>
      <c r="L76" s="4">
        <f>IF(K76=0,"NA",(+J76-K76)/K76)</f>
        <v>-0.2143978267431331</v>
      </c>
      <c r="M76" s="305"/>
    </row>
    <row r="77" spans="1:13" hidden="1">
      <c r="B77" s="2" t="s">
        <v>331</v>
      </c>
      <c r="D77" s="2" t="s">
        <v>404</v>
      </c>
      <c r="E77" s="38"/>
      <c r="F77" s="38"/>
      <c r="G77" s="38"/>
      <c r="H77" s="4"/>
      <c r="J77" s="38"/>
      <c r="K77" s="38"/>
      <c r="L77" s="4"/>
      <c r="M77" s="305"/>
    </row>
    <row r="78" spans="1:13" hidden="1">
      <c r="C78" s="854" t="s">
        <v>332</v>
      </c>
      <c r="D78" s="854"/>
      <c r="E78" s="38">
        <f>'New Year-Full Year'!P$126</f>
        <v>88773</v>
      </c>
      <c r="F78" s="38">
        <f>'New Year-Full Year'!Q$126</f>
        <v>86398</v>
      </c>
      <c r="G78" s="38">
        <f t="shared" ref="G78" si="21">+E78-F78</f>
        <v>2375</v>
      </c>
      <c r="H78" s="4">
        <f>IF(F78=0,"NA",(+E78-F78)/F78)</f>
        <v>2.7489062246811267E-2</v>
      </c>
      <c r="J78" s="38">
        <f>'New Year-Full Year'!U$126</f>
        <v>69872.2</v>
      </c>
      <c r="K78" s="38">
        <f>'New Year-Full Year'!V$126</f>
        <v>71958.399999999994</v>
      </c>
      <c r="L78" s="4">
        <f>IF(K78=0,"NA",(+J78-K78)/K78)</f>
        <v>-2.8991750789344916E-2</v>
      </c>
      <c r="M78" s="305"/>
    </row>
    <row r="79" spans="1:13" s="2" customFormat="1">
      <c r="A79" s="43">
        <v>86</v>
      </c>
      <c r="B79" s="24" t="s">
        <v>405</v>
      </c>
      <c r="C79" s="24"/>
      <c r="D79" s="24"/>
      <c r="E79" s="24">
        <f>SUM(E75:E78)</f>
        <v>329894</v>
      </c>
      <c r="F79" s="24">
        <f>SUM(F75:F78)</f>
        <v>342612</v>
      </c>
      <c r="G79" s="24">
        <f t="shared" ref="G79" si="22">+E79-F79</f>
        <v>-12718</v>
      </c>
      <c r="H79" s="25">
        <f>IF(F79=0,"NA",(+E79-F79)/F79)</f>
        <v>-3.7120707972867269E-2</v>
      </c>
      <c r="J79" s="24">
        <f>SUM(J75:J78)</f>
        <v>233616.83000000002</v>
      </c>
      <c r="K79" s="24">
        <f>SUM(K75:K78)</f>
        <v>284425.46999999997</v>
      </c>
      <c r="L79" s="25">
        <f>IF(K79=0,"NA",(+J79-K79)/K79)</f>
        <v>-0.17863604127998789</v>
      </c>
      <c r="M79" s="306"/>
    </row>
    <row r="80" spans="1:13" ht="8.25" customHeight="1">
      <c r="A80" s="43">
        <v>129</v>
      </c>
      <c r="H80" s="39"/>
    </row>
    <row r="81" spans="1:12" ht="18.5">
      <c r="A81" s="43">
        <v>130</v>
      </c>
      <c r="B81" s="7" t="str">
        <f>+'New Year-Full Year'!B164</f>
        <v>Facilities</v>
      </c>
      <c r="H81" s="39"/>
    </row>
    <row r="82" spans="1:12">
      <c r="A82" s="43">
        <v>131</v>
      </c>
      <c r="B82" s="2" t="str">
        <f>+'New Year-Full Year'!B165</f>
        <v>Utilities</v>
      </c>
      <c r="H82" s="39"/>
    </row>
    <row r="83" spans="1:12">
      <c r="A83" s="43">
        <v>132</v>
      </c>
      <c r="C83" s="1" t="str">
        <f>+'New Year-Full Year'!C166</f>
        <v>Electric</v>
      </c>
      <c r="E83" s="38">
        <f>+'New Year-Full Year'!P166</f>
        <v>11000</v>
      </c>
      <c r="F83" s="38">
        <f>+'New Year-Full Year'!Q166</f>
        <v>12000</v>
      </c>
      <c r="G83" s="38">
        <f t="shared" ref="G83:G89" si="23">+E83-F83</f>
        <v>-1000</v>
      </c>
      <c r="H83" s="4">
        <f t="shared" ref="H83:H90" si="24">IF(F83=0,"NA",(+E83-F83)/F83)</f>
        <v>-8.3333333333333329E-2</v>
      </c>
      <c r="J83" s="38">
        <f>+'New Year-Full Year'!U166</f>
        <v>8279.19</v>
      </c>
      <c r="K83" s="38">
        <f>+'New Year-Full Year'!V166</f>
        <v>10000</v>
      </c>
      <c r="L83" s="4">
        <f t="shared" ref="L83:L90" si="25">IF(K83=0,"NA",(+J83-K83)/K83)</f>
        <v>-0.17208099999999996</v>
      </c>
    </row>
    <row r="84" spans="1:12">
      <c r="A84" s="43">
        <v>133</v>
      </c>
      <c r="C84" s="1" t="str">
        <f>+'New Year-Full Year'!C168</f>
        <v>Gas</v>
      </c>
      <c r="E84" s="38">
        <f>+'New Year-Full Year'!P168</f>
        <v>8400</v>
      </c>
      <c r="F84" s="38">
        <f>+'New Year-Full Year'!Q168</f>
        <v>10000</v>
      </c>
      <c r="G84" s="38">
        <f t="shared" si="23"/>
        <v>-1600</v>
      </c>
      <c r="H84" s="4">
        <f t="shared" si="24"/>
        <v>-0.16</v>
      </c>
      <c r="J84" s="38">
        <f>+'New Year-Full Year'!U168</f>
        <v>7000</v>
      </c>
      <c r="K84" s="38">
        <f>+'New Year-Full Year'!V168</f>
        <v>8333.2999999999993</v>
      </c>
      <c r="L84" s="4">
        <f t="shared" si="25"/>
        <v>-0.15999663998655989</v>
      </c>
    </row>
    <row r="85" spans="1:12">
      <c r="A85" s="43">
        <v>134</v>
      </c>
      <c r="C85" s="1" t="str">
        <f>+'New Year-Full Year'!C170</f>
        <v>Telephone</v>
      </c>
      <c r="E85" s="38">
        <f>+'New Year-Full Year'!P170</f>
        <v>4800</v>
      </c>
      <c r="F85" s="38">
        <f>+'New Year-Full Year'!Q170</f>
        <v>4400</v>
      </c>
      <c r="G85" s="38">
        <f t="shared" si="23"/>
        <v>400</v>
      </c>
      <c r="H85" s="4">
        <f t="shared" si="24"/>
        <v>9.0909090909090912E-2</v>
      </c>
      <c r="J85" s="38">
        <f>+'New Year-Full Year'!U170</f>
        <v>3965.14</v>
      </c>
      <c r="K85" s="38">
        <f>+'New Year-Full Year'!V170</f>
        <v>3666.7</v>
      </c>
      <c r="L85" s="4">
        <f t="shared" si="25"/>
        <v>8.13919873455696E-2</v>
      </c>
    </row>
    <row r="86" spans="1:12">
      <c r="A86" s="43">
        <v>135</v>
      </c>
      <c r="C86" s="1" t="str">
        <f>+'New Year-Full Year'!C172</f>
        <v>Water</v>
      </c>
      <c r="E86" s="38">
        <f>+'New Year-Full Year'!P172</f>
        <v>1800</v>
      </c>
      <c r="F86" s="38">
        <f>+'New Year-Full Year'!Q172</f>
        <v>1000</v>
      </c>
      <c r="G86" s="38">
        <f t="shared" si="23"/>
        <v>800</v>
      </c>
      <c r="H86" s="4">
        <f t="shared" si="24"/>
        <v>0.8</v>
      </c>
      <c r="J86" s="38">
        <f>+'New Year-Full Year'!U172</f>
        <v>1201.98</v>
      </c>
      <c r="K86" s="38">
        <f>+'New Year-Full Year'!V172</f>
        <v>1000</v>
      </c>
      <c r="L86" s="4">
        <f t="shared" si="25"/>
        <v>0.20198000000000002</v>
      </c>
    </row>
    <row r="87" spans="1:12">
      <c r="A87" s="43">
        <v>136</v>
      </c>
      <c r="C87" s="1" t="str">
        <f>+'New Year-Full Year'!C173</f>
        <v>Security</v>
      </c>
      <c r="E87" s="38">
        <f>+'New Year-Full Year'!P173</f>
        <v>350</v>
      </c>
      <c r="F87" s="38">
        <f>+'New Year-Full Year'!Q173</f>
        <v>350</v>
      </c>
      <c r="G87" s="38">
        <f t="shared" si="23"/>
        <v>0</v>
      </c>
      <c r="H87" s="4">
        <f t="shared" si="24"/>
        <v>0</v>
      </c>
      <c r="J87" s="38">
        <f>+'New Year-Full Year'!U173</f>
        <v>263.39999999999998</v>
      </c>
      <c r="K87" s="38">
        <f>+'New Year-Full Year'!V173</f>
        <v>291.7</v>
      </c>
      <c r="L87" s="4">
        <f t="shared" si="25"/>
        <v>-9.7017483716146768E-2</v>
      </c>
    </row>
    <row r="88" spans="1:12">
      <c r="A88" s="43">
        <v>137</v>
      </c>
      <c r="C88" s="1" t="str">
        <f>+'New Year-Full Year'!C174</f>
        <v>Cell Phone</v>
      </c>
      <c r="E88" s="38">
        <f>+'New Year-Full Year'!P174</f>
        <v>0</v>
      </c>
      <c r="F88" s="38">
        <f>+'New Year-Full Year'!Q174</f>
        <v>0</v>
      </c>
      <c r="G88" s="38">
        <f t="shared" si="23"/>
        <v>0</v>
      </c>
      <c r="H88" s="4" t="str">
        <f t="shared" si="24"/>
        <v>NA</v>
      </c>
      <c r="J88" s="38">
        <f>+'New Year-Full Year'!U174</f>
        <v>0</v>
      </c>
      <c r="K88" s="38">
        <f>+'New Year-Full Year'!V174</f>
        <v>0</v>
      </c>
      <c r="L88" s="4" t="str">
        <f t="shared" si="25"/>
        <v>NA</v>
      </c>
    </row>
    <row r="89" spans="1:12">
      <c r="A89" s="43">
        <v>138</v>
      </c>
      <c r="C89" s="1" t="str">
        <f>+'New Year-Full Year'!C176</f>
        <v>City Assessment</v>
      </c>
      <c r="E89" s="38">
        <f>+'New Year-Full Year'!P176</f>
        <v>6052</v>
      </c>
      <c r="F89" s="38">
        <f>+'New Year-Full Year'!Q176</f>
        <v>5200</v>
      </c>
      <c r="G89" s="38">
        <f t="shared" si="23"/>
        <v>852</v>
      </c>
      <c r="H89" s="4">
        <f t="shared" si="24"/>
        <v>0.16384615384615384</v>
      </c>
      <c r="J89" s="38">
        <f>+'New Year-Full Year'!U176</f>
        <v>5922.54</v>
      </c>
      <c r="K89" s="38">
        <f>+'New Year-Full Year'!V176</f>
        <v>5200</v>
      </c>
      <c r="L89" s="4">
        <f t="shared" si="25"/>
        <v>0.13894999999999999</v>
      </c>
    </row>
    <row r="90" spans="1:12" s="2" customFormat="1">
      <c r="A90" s="43">
        <v>139</v>
      </c>
      <c r="B90" s="27" t="str">
        <f>+'New Year-Full Year'!B177</f>
        <v>Total Utilities</v>
      </c>
      <c r="C90" s="27"/>
      <c r="D90" s="27"/>
      <c r="E90" s="27">
        <f>SUM(E83:E89)</f>
        <v>32402</v>
      </c>
      <c r="F90" s="27">
        <f>SUM(F83:F89)</f>
        <v>32950</v>
      </c>
      <c r="G90" s="27">
        <f>SUM(G83:G89)</f>
        <v>-548</v>
      </c>
      <c r="H90" s="28">
        <f t="shared" si="24"/>
        <v>-1.6631259484066768E-2</v>
      </c>
      <c r="J90" s="27">
        <f>SUM(J83:J89)</f>
        <v>26632.250000000004</v>
      </c>
      <c r="K90" s="27">
        <f>SUM(K83:K89)</f>
        <v>28491.7</v>
      </c>
      <c r="L90" s="28">
        <f t="shared" si="25"/>
        <v>-6.5262866027650052E-2</v>
      </c>
    </row>
    <row r="91" spans="1:12" s="2" customFormat="1" ht="6.75" customHeight="1">
      <c r="A91" s="43">
        <v>140</v>
      </c>
      <c r="B91" s="15"/>
      <c r="C91" s="15"/>
      <c r="D91" s="15"/>
      <c r="E91" s="15"/>
      <c r="F91" s="15"/>
      <c r="G91" s="15"/>
      <c r="H91" s="18"/>
      <c r="J91" s="15"/>
      <c r="K91" s="15"/>
      <c r="L91" s="18"/>
    </row>
    <row r="92" spans="1:12">
      <c r="A92" s="43">
        <v>141</v>
      </c>
      <c r="B92" s="2" t="str">
        <f>+'New Year-Full Year'!B179</f>
        <v>Church Maintenance</v>
      </c>
      <c r="H92" s="39"/>
    </row>
    <row r="93" spans="1:12">
      <c r="A93" s="43">
        <v>142</v>
      </c>
      <c r="C93" s="1" t="str">
        <f>+'New Year-Full Year'!C180</f>
        <v>Insurance</v>
      </c>
      <c r="E93" s="38">
        <f>+'New Year-Full Year'!P180</f>
        <v>13400</v>
      </c>
      <c r="F93" s="38">
        <f>+'New Year-Full Year'!Q180</f>
        <v>12758</v>
      </c>
      <c r="G93" s="38">
        <f t="shared" ref="G93:G97" si="26">+E93-F93</f>
        <v>642</v>
      </c>
      <c r="H93" s="4">
        <f t="shared" ref="H93:H100" si="27">IF(F93=0,"NA",(+E93-F93)/F93)</f>
        <v>5.0321366985420911E-2</v>
      </c>
      <c r="J93" s="38">
        <f>+'New Year-Full Year'!U180</f>
        <v>9639.25</v>
      </c>
      <c r="K93" s="38">
        <f>+'New Year-Full Year'!V180</f>
        <v>9568.5</v>
      </c>
      <c r="L93" s="4">
        <f t="shared" ref="L93:L100" si="28">IF(K93=0,"NA",(+J93-K93)/K93)</f>
        <v>7.3940534043998533E-3</v>
      </c>
    </row>
    <row r="94" spans="1:12">
      <c r="A94" s="43">
        <v>143</v>
      </c>
      <c r="C94" s="1" t="str">
        <f>+'New Year-Full Year'!C182</f>
        <v>Snow Removal</v>
      </c>
      <c r="E94" s="38">
        <f>+'New Year-Full Year'!P182</f>
        <v>6000</v>
      </c>
      <c r="F94" s="38">
        <f>+'New Year-Full Year'!Q182</f>
        <v>5000</v>
      </c>
      <c r="G94" s="38">
        <f t="shared" si="26"/>
        <v>1000</v>
      </c>
      <c r="H94" s="4">
        <f t="shared" si="27"/>
        <v>0.2</v>
      </c>
      <c r="J94" s="38">
        <f>+'New Year-Full Year'!U182</f>
        <v>4683.2</v>
      </c>
      <c r="K94" s="38">
        <f>+'New Year-Full Year'!V182</f>
        <v>3333.32</v>
      </c>
      <c r="L94" s="4">
        <f t="shared" si="28"/>
        <v>0.40496561986247931</v>
      </c>
    </row>
    <row r="95" spans="1:12">
      <c r="A95" s="43">
        <v>144</v>
      </c>
      <c r="C95" s="1" t="str">
        <f>+'New Year-Full Year'!C183</f>
        <v>Maint.  Supplies</v>
      </c>
      <c r="E95" s="38">
        <f>+'New Year-Full Year'!P183</f>
        <v>4500</v>
      </c>
      <c r="F95" s="38">
        <f>+'New Year-Full Year'!Q183</f>
        <v>4500</v>
      </c>
      <c r="G95" s="38">
        <f t="shared" si="26"/>
        <v>0</v>
      </c>
      <c r="H95" s="4">
        <f t="shared" si="27"/>
        <v>0</v>
      </c>
      <c r="J95" s="38">
        <f>+'New Year-Full Year'!U183</f>
        <v>2623.8</v>
      </c>
      <c r="K95" s="38">
        <f>+'New Year-Full Year'!V183</f>
        <v>3750</v>
      </c>
      <c r="L95" s="4">
        <f t="shared" si="28"/>
        <v>-0.30031999999999998</v>
      </c>
    </row>
    <row r="96" spans="1:12" ht="15" customHeight="1">
      <c r="A96" s="43">
        <v>145</v>
      </c>
      <c r="C96" s="1" t="str">
        <f>+'New Year-Full Year'!C184</f>
        <v>Maintenance Contracts</v>
      </c>
      <c r="D96" s="76"/>
      <c r="E96" s="38">
        <f>+'New Year-Full Year'!P184</f>
        <v>6000</v>
      </c>
      <c r="F96" s="38">
        <f>+'New Year-Full Year'!Q184</f>
        <v>6000</v>
      </c>
      <c r="G96" s="38">
        <f t="shared" si="26"/>
        <v>0</v>
      </c>
      <c r="H96" s="4">
        <f t="shared" si="27"/>
        <v>0</v>
      </c>
      <c r="J96" s="38">
        <f>+'New Year-Full Year'!U184</f>
        <v>4780.12</v>
      </c>
      <c r="K96" s="38">
        <f>+'New Year-Full Year'!V184</f>
        <v>5000</v>
      </c>
      <c r="L96" s="4">
        <f t="shared" si="28"/>
        <v>-4.3976000000000022E-2</v>
      </c>
    </row>
    <row r="97" spans="1:12">
      <c r="A97" s="43">
        <v>146</v>
      </c>
      <c r="C97" s="1" t="str">
        <f>+'New Year-Full Year'!C185</f>
        <v>Building Repairs</v>
      </c>
      <c r="E97" s="38">
        <f>+'New Year-Full Year'!P185</f>
        <v>10000</v>
      </c>
      <c r="F97" s="38">
        <f>+'New Year-Full Year'!Q185</f>
        <v>10000</v>
      </c>
      <c r="G97" s="38">
        <f t="shared" si="26"/>
        <v>0</v>
      </c>
      <c r="H97" s="4">
        <f t="shared" si="27"/>
        <v>0</v>
      </c>
      <c r="J97" s="38">
        <f>+'New Year-Full Year'!U185</f>
        <v>1222.2</v>
      </c>
      <c r="K97" s="38">
        <f>+'New Year-Full Year'!V185</f>
        <v>8333.2999999999993</v>
      </c>
      <c r="L97" s="4">
        <f t="shared" si="28"/>
        <v>-0.85333541334165341</v>
      </c>
    </row>
    <row r="98" spans="1:12" hidden="1">
      <c r="A98" s="43">
        <v>149</v>
      </c>
      <c r="C98" s="1" t="str">
        <f>+'New Year-Full Year'!C188</f>
        <v>Interest-Line of Credit</v>
      </c>
      <c r="E98" s="38">
        <f>+'New Year-Full Year'!P188</f>
        <v>0</v>
      </c>
      <c r="F98" s="38">
        <f>+'New Year-Full Year'!Q188</f>
        <v>0</v>
      </c>
      <c r="G98" s="38"/>
      <c r="H98" s="4" t="str">
        <f t="shared" si="27"/>
        <v>NA</v>
      </c>
      <c r="J98" s="38">
        <f>+'New Year-Full Year'!U188</f>
        <v>0</v>
      </c>
      <c r="K98" s="38">
        <f>+'New Year-Full Year'!V188</f>
        <v>0</v>
      </c>
      <c r="L98" s="4" t="str">
        <f t="shared" si="28"/>
        <v>NA</v>
      </c>
    </row>
    <row r="99" spans="1:12" s="2" customFormat="1">
      <c r="A99" s="43">
        <v>150</v>
      </c>
      <c r="B99" s="27" t="str">
        <f>+'New Year-Full Year'!B189</f>
        <v>Total Church Maintenance</v>
      </c>
      <c r="C99" s="27"/>
      <c r="D99" s="27"/>
      <c r="E99" s="27">
        <f>SUM(E93:E98)</f>
        <v>39900</v>
      </c>
      <c r="F99" s="27">
        <f>SUM(F93:F98)</f>
        <v>38258</v>
      </c>
      <c r="G99" s="27">
        <f>SUM(G93:G98)</f>
        <v>1642</v>
      </c>
      <c r="H99" s="28">
        <f t="shared" si="27"/>
        <v>4.2919128025511004E-2</v>
      </c>
      <c r="J99" s="27">
        <f>SUM(J93:J98)</f>
        <v>22948.57</v>
      </c>
      <c r="K99" s="27">
        <f>SUM(K93:K98)</f>
        <v>29985.119999999999</v>
      </c>
      <c r="L99" s="28">
        <f t="shared" si="28"/>
        <v>-0.23466806202543125</v>
      </c>
    </row>
    <row r="100" spans="1:12">
      <c r="A100" s="43">
        <v>151</v>
      </c>
      <c r="B100" s="27" t="str">
        <f>+'New Year-Full Year'!B190</f>
        <v>TOTAL FACILITIES</v>
      </c>
      <c r="C100" s="27"/>
      <c r="D100" s="27"/>
      <c r="E100" s="27">
        <f>+E90+E99</f>
        <v>72302</v>
      </c>
      <c r="F100" s="27">
        <f>+F90+F99</f>
        <v>71208</v>
      </c>
      <c r="G100" s="27">
        <f>+G90+G99</f>
        <v>1094</v>
      </c>
      <c r="H100" s="28">
        <f t="shared" si="27"/>
        <v>1.5363442309852825E-2</v>
      </c>
      <c r="J100" s="27">
        <f>+J90+J99</f>
        <v>49580.820000000007</v>
      </c>
      <c r="K100" s="27">
        <f>+K90+K99</f>
        <v>58476.82</v>
      </c>
      <c r="L100" s="28">
        <f t="shared" si="28"/>
        <v>-0.15212865542278106</v>
      </c>
    </row>
    <row r="101" spans="1:12" ht="4.5" customHeight="1">
      <c r="A101" s="43">
        <v>152</v>
      </c>
      <c r="H101" s="39"/>
    </row>
    <row r="102" spans="1:12" ht="21">
      <c r="A102" s="43">
        <v>154</v>
      </c>
      <c r="B102" s="786" t="str">
        <f>+'New Year-Full Year'!B192</f>
        <v>Restricted Funds</v>
      </c>
      <c r="H102" s="39"/>
    </row>
    <row r="103" spans="1:12">
      <c r="A103" s="43">
        <v>155</v>
      </c>
      <c r="C103" s="1" t="str">
        <f>'New Year-Full Year'!C193</f>
        <v>Operating Fund Reserve</v>
      </c>
      <c r="E103" s="38">
        <f>SUM('New Year-Full Year'!P193:P193)</f>
        <v>0</v>
      </c>
      <c r="F103" s="38">
        <f>SUM('New Year-Full Year'!Q193:Q193)</f>
        <v>-8185</v>
      </c>
      <c r="G103" s="38">
        <f t="shared" ref="G103:G107" si="29">+E103-F103</f>
        <v>8185</v>
      </c>
      <c r="H103" s="4">
        <f t="shared" ref="H103:H109" si="30">IF(F103=0,"NA",(+E103-F103)/F103)</f>
        <v>-1</v>
      </c>
      <c r="J103" s="38">
        <f>SUM('New Year-Full Year'!U193:U193)</f>
        <v>28100</v>
      </c>
      <c r="K103" s="38">
        <f>SUM('New Year-Full Year'!V193:V193)</f>
        <v>0</v>
      </c>
      <c r="L103" s="4" t="str">
        <f t="shared" ref="L103:L109" si="31">IF(K103=0,"NA",(+J103-K103)/K103)</f>
        <v>NA</v>
      </c>
    </row>
    <row r="104" spans="1:12" hidden="1">
      <c r="C104" s="1" t="str">
        <f>'New Year-Full Year'!C194</f>
        <v>Pastor Transition</v>
      </c>
      <c r="E104" s="38">
        <f>SUM('New Year-Full Year'!P194:P194)</f>
        <v>0</v>
      </c>
      <c r="F104" s="38">
        <f>SUM('New Year-Full Year'!Q194:Q194)</f>
        <v>0</v>
      </c>
      <c r="G104" s="38">
        <f t="shared" si="29"/>
        <v>0</v>
      </c>
      <c r="H104" s="4" t="str">
        <f>IF(F104=0,"NA",(+E104-F104)/F104)</f>
        <v>NA</v>
      </c>
      <c r="J104" s="38">
        <f>SUM('New Year-Full Year'!U194:U194)</f>
        <v>0</v>
      </c>
      <c r="K104" s="38">
        <f>SUM('New Year-Full Year'!V194:V194)</f>
        <v>0</v>
      </c>
      <c r="L104" s="4" t="str">
        <f>IF(K104=0,"NA",(+J104-K104)/K104)</f>
        <v>NA</v>
      </c>
    </row>
    <row r="105" spans="1:12">
      <c r="A105" s="43">
        <v>156</v>
      </c>
      <c r="C105" s="1" t="str">
        <f>'New Year-Full Year'!C195</f>
        <v>Facilities Fund Reserve</v>
      </c>
      <c r="E105" s="38">
        <f>+'New Year-Full Year'!P195</f>
        <v>0</v>
      </c>
      <c r="F105" s="38">
        <f>+'New Year-Full Year'!Q195</f>
        <v>0</v>
      </c>
      <c r="G105" s="38">
        <f t="shared" si="29"/>
        <v>0</v>
      </c>
      <c r="H105" s="4" t="str">
        <f t="shared" si="30"/>
        <v>NA</v>
      </c>
      <c r="J105" s="38">
        <f>+'New Year-Full Year'!U195</f>
        <v>0</v>
      </c>
      <c r="K105" s="38">
        <f>+'New Year-Full Year'!V195</f>
        <v>0</v>
      </c>
      <c r="L105" s="4" t="str">
        <f t="shared" si="31"/>
        <v>NA</v>
      </c>
    </row>
    <row r="106" spans="1:12">
      <c r="A106" s="43">
        <v>157</v>
      </c>
      <c r="C106" s="1" t="str">
        <f>'New Year-Full Year'!C196</f>
        <v>Facilities Maintenance</v>
      </c>
      <c r="E106" s="38">
        <f>+'New Year-Full Year'!P196</f>
        <v>0</v>
      </c>
      <c r="F106" s="38">
        <f>+'New Year-Full Year'!Q196</f>
        <v>0</v>
      </c>
      <c r="G106" s="38">
        <f t="shared" si="29"/>
        <v>0</v>
      </c>
      <c r="H106" s="4" t="str">
        <f t="shared" si="30"/>
        <v>NA</v>
      </c>
      <c r="J106" s="38">
        <f>+'New Year-Full Year'!U196</f>
        <v>0</v>
      </c>
      <c r="K106" s="38">
        <f>+'New Year-Full Year'!V196</f>
        <v>0</v>
      </c>
      <c r="L106" s="785" t="s">
        <v>477</v>
      </c>
    </row>
    <row r="107" spans="1:12">
      <c r="C107" s="1" t="s">
        <v>179</v>
      </c>
      <c r="E107" s="38">
        <f>+'New Year-Full Year'!P197</f>
        <v>0</v>
      </c>
      <c r="F107" s="38">
        <f>+'New Year-Full Year'!Q197</f>
        <v>0</v>
      </c>
      <c r="G107" s="38">
        <f t="shared" si="29"/>
        <v>0</v>
      </c>
      <c r="H107" s="4" t="str">
        <f t="shared" si="30"/>
        <v>NA</v>
      </c>
      <c r="J107" s="38">
        <f>+'New Year-Full Year'!U197</f>
        <v>28100</v>
      </c>
      <c r="K107" s="38">
        <f>+'New Year-Full Year'!V197</f>
        <v>0</v>
      </c>
      <c r="L107" s="4" t="str">
        <f t="shared" si="31"/>
        <v>NA</v>
      </c>
    </row>
    <row r="108" spans="1:12" hidden="1">
      <c r="A108" s="43">
        <v>158</v>
      </c>
      <c r="C108" s="1" t="str">
        <f>'New Year-Full Year'!C198</f>
        <v>Line of Credit Payment</v>
      </c>
      <c r="E108" s="38">
        <f>+'New Year-Full Year'!P198</f>
        <v>0</v>
      </c>
      <c r="F108" s="38">
        <f>+'New Year-Full Year'!Q198</f>
        <v>0</v>
      </c>
      <c r="G108" s="38"/>
      <c r="H108" s="4" t="str">
        <f t="shared" si="30"/>
        <v>NA</v>
      </c>
      <c r="J108" s="38">
        <f>+'New Year-Full Year'!U198</f>
        <v>0</v>
      </c>
      <c r="K108" s="38">
        <f>+'New Year-Full Year'!V198</f>
        <v>0</v>
      </c>
      <c r="L108" s="4" t="str">
        <f t="shared" si="31"/>
        <v>NA</v>
      </c>
    </row>
    <row r="109" spans="1:12" s="2" customFormat="1">
      <c r="A109" s="43">
        <v>159</v>
      </c>
      <c r="B109" s="29" t="str">
        <f>+'New Year-Full Year'!B199</f>
        <v>Total Restricted Funds</v>
      </c>
      <c r="C109" s="29"/>
      <c r="D109" s="29"/>
      <c r="E109" s="29">
        <f>SUM(E103:E108)</f>
        <v>0</v>
      </c>
      <c r="F109" s="29">
        <f>SUM(F103:F108)</f>
        <v>-8185</v>
      </c>
      <c r="G109" s="29">
        <f>SUM(G103:G108)</f>
        <v>8185</v>
      </c>
      <c r="H109" s="30">
        <f t="shared" si="30"/>
        <v>-1</v>
      </c>
      <c r="J109" s="29">
        <f>SUM(J103:J108)</f>
        <v>56200</v>
      </c>
      <c r="K109" s="29">
        <f>SUM(K103:K108)</f>
        <v>0</v>
      </c>
      <c r="L109" s="30" t="str">
        <f t="shared" si="31"/>
        <v>NA</v>
      </c>
    </row>
    <row r="110" spans="1:12" ht="7.5" customHeight="1">
      <c r="A110" s="43">
        <v>160</v>
      </c>
      <c r="H110" s="39"/>
    </row>
    <row r="111" spans="1:12">
      <c r="A111" s="43">
        <v>161</v>
      </c>
      <c r="B111" s="31" t="str">
        <f>+'New Year-Full Year'!B201</f>
        <v>TOTAL EXPENSES</v>
      </c>
      <c r="C111" s="32"/>
      <c r="D111" s="32"/>
      <c r="E111" s="31">
        <f>+E71+E100+E109+E26+E79</f>
        <v>471621</v>
      </c>
      <c r="F111" s="31">
        <f>+F71+F100+F109+F26+F79</f>
        <v>498500</v>
      </c>
      <c r="G111" s="31">
        <f>+G71+G100+G109+G26+G79</f>
        <v>-26879</v>
      </c>
      <c r="H111" s="33">
        <f>IF(F111=0,"NA",(+E111-F111)/F111)</f>
        <v>-5.3919759277833504E-2</v>
      </c>
      <c r="J111" s="31">
        <f>+J71+J100+J109+J26+J79</f>
        <v>393057.37</v>
      </c>
      <c r="K111" s="31">
        <f>+K71+K100+K109+K26+K79</f>
        <v>419499.56999999995</v>
      </c>
      <c r="L111" s="33">
        <f>IF(K111=0,"NA",(+J111-K111)/K111)</f>
        <v>-6.3032722536521216E-2</v>
      </c>
    </row>
    <row r="112" spans="1:12">
      <c r="A112" s="43">
        <v>162</v>
      </c>
      <c r="B112" s="31" t="str">
        <f>+'New Year-Full Year'!B202</f>
        <v>Income less Expense</v>
      </c>
      <c r="C112" s="32"/>
      <c r="D112" s="32"/>
      <c r="E112" s="31">
        <f>ROUND(+E23-E111,0)</f>
        <v>-701</v>
      </c>
      <c r="F112" s="31">
        <f>ROUND(+F23-F111,0)</f>
        <v>0</v>
      </c>
      <c r="G112" s="31">
        <f>ROUND(+G23-G111,0)</f>
        <v>-701</v>
      </c>
      <c r="H112" s="33" t="str">
        <f>IF(F112=0,"NA",(+E112-F112)/F112)</f>
        <v>NA</v>
      </c>
      <c r="J112" s="31">
        <f>ROUND(+J23-J111,0)</f>
        <v>57469</v>
      </c>
      <c r="K112" s="31">
        <f>ROUND(+K23-K111,0)</f>
        <v>-6321</v>
      </c>
      <c r="L112" s="33">
        <f>IF(K112=0,"NA",(+J112-K112)/K112)</f>
        <v>-10.091757633285873</v>
      </c>
    </row>
    <row r="113" spans="2:12" ht="7.25" customHeight="1" thickBot="1">
      <c r="H113" s="39"/>
    </row>
    <row r="114" spans="2:12">
      <c r="B114" s="105" t="str">
        <f>+'New Year-Full Year'!B204</f>
        <v>Operating Income (Envelope Giving)</v>
      </c>
      <c r="C114" s="106"/>
      <c r="D114" s="106"/>
      <c r="E114" s="121">
        <f>+E23-E21</f>
        <v>470920</v>
      </c>
      <c r="F114" s="121">
        <f>+F23-F21</f>
        <v>498500</v>
      </c>
      <c r="G114" s="121">
        <f>+G23-G21</f>
        <v>-27580</v>
      </c>
      <c r="H114" s="110">
        <f>IF(F114=0,"NA",(+E114-F114)/F114)</f>
        <v>-5.5325977933801403E-2</v>
      </c>
      <c r="I114" s="107"/>
      <c r="J114" s="121">
        <f>+J23-J21</f>
        <v>450525.95</v>
      </c>
      <c r="K114" s="121">
        <f>+K23-K21</f>
        <v>413178.07</v>
      </c>
      <c r="L114" s="111">
        <f>IF(K114=0,"NA",(+J114-K114)/K114)</f>
        <v>9.039172868008219E-2</v>
      </c>
    </row>
    <row r="115" spans="2:12">
      <c r="B115" s="112" t="str">
        <f>+'New Year-Full Year'!B205</f>
        <v>Operating Expenses</v>
      </c>
      <c r="C115" s="100"/>
      <c r="D115" s="100"/>
      <c r="E115" s="122">
        <f>+E111-E109</f>
        <v>471621</v>
      </c>
      <c r="F115" s="122">
        <f>+F111-F109</f>
        <v>506685</v>
      </c>
      <c r="G115" s="122">
        <f>+G111-G109</f>
        <v>-35064</v>
      </c>
      <c r="H115" s="104">
        <f>IF(F115=0,"NA",(+E115-F115)/F115)</f>
        <v>-6.9202759110690071E-2</v>
      </c>
      <c r="I115" s="101"/>
      <c r="J115" s="122">
        <f>+J111-J109</f>
        <v>336857.37</v>
      </c>
      <c r="K115" s="122">
        <f>+K111-K109</f>
        <v>419499.56999999995</v>
      </c>
      <c r="L115" s="113">
        <f>IF(K115=0,"NA",(+J115-K115)/K115)</f>
        <v>-0.19700187058594593</v>
      </c>
    </row>
    <row r="116" spans="2:12" ht="15" thickBot="1">
      <c r="B116" s="114" t="str">
        <f>+'New Year-Full Year'!B206</f>
        <v>Net Operating Income/(Loss)</v>
      </c>
      <c r="C116" s="115"/>
      <c r="D116" s="115"/>
      <c r="E116" s="123">
        <f>+E114-E115</f>
        <v>-701</v>
      </c>
      <c r="F116" s="123">
        <f>+F114-F115</f>
        <v>-8185</v>
      </c>
      <c r="G116" s="123">
        <f>+G114-G115</f>
        <v>7484</v>
      </c>
      <c r="H116" s="784" t="s">
        <v>477</v>
      </c>
      <c r="I116" s="117"/>
      <c r="J116" s="123">
        <f>+J114-J115</f>
        <v>113668.58000000002</v>
      </c>
      <c r="K116" s="123">
        <f>+K114-K115</f>
        <v>-6321.4999999999418</v>
      </c>
      <c r="L116" s="783" t="s">
        <v>477</v>
      </c>
    </row>
    <row r="117" spans="2:12" ht="5" customHeight="1">
      <c r="H117" s="39"/>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4.xml><?xml version="1.0" encoding="utf-8"?>
<worksheet xmlns="http://schemas.openxmlformats.org/spreadsheetml/2006/main" xmlns:r="http://schemas.openxmlformats.org/officeDocument/2006/relationships">
  <sheetPr>
    <tabColor rgb="FFFF0000"/>
  </sheetPr>
  <dimension ref="A1:L24"/>
  <sheetViews>
    <sheetView showGridLines="0" topLeftCell="A3" workbookViewId="0">
      <selection activeCell="B5" sqref="B5"/>
    </sheetView>
  </sheetViews>
  <sheetFormatPr defaultRowHeight="14.5"/>
  <cols>
    <col min="1" max="1" width="23.453125" customWidth="1"/>
    <col min="2" max="3" width="9.36328125" customWidth="1"/>
    <col min="6" max="6" width="3.1796875" customWidth="1"/>
    <col min="7" max="7" width="10.54296875" customWidth="1"/>
  </cols>
  <sheetData>
    <row r="1" spans="1:12" ht="55.5" customHeight="1"/>
    <row r="2" spans="1:12" ht="21">
      <c r="A2" s="875" t="s">
        <v>428</v>
      </c>
      <c r="B2" s="875"/>
      <c r="C2" s="875"/>
      <c r="D2" s="875"/>
      <c r="E2" s="875"/>
      <c r="F2" s="875"/>
      <c r="G2" s="875"/>
      <c r="H2" s="708"/>
    </row>
    <row r="3" spans="1:12" ht="15" thickBot="1"/>
    <row r="4" spans="1:12" ht="44.5" thickTop="1" thickBot="1">
      <c r="B4" s="727" t="s">
        <v>430</v>
      </c>
      <c r="C4" s="728" t="s">
        <v>429</v>
      </c>
      <c r="D4" s="728" t="s">
        <v>287</v>
      </c>
      <c r="E4" s="729" t="s">
        <v>431</v>
      </c>
    </row>
    <row r="5" spans="1:12" ht="15" thickTop="1">
      <c r="A5" s="726" t="s">
        <v>433</v>
      </c>
      <c r="B5" s="712">
        <f>ROUND(+'New Year-Full Year'!P23,0)</f>
        <v>470920</v>
      </c>
      <c r="C5" s="712">
        <f>ROUND(+'New Year-Full Year'!U23,0)</f>
        <v>450526</v>
      </c>
      <c r="D5" s="712">
        <f>ROUND(+'New Year-Full Year'!Q23,0)</f>
        <v>498500</v>
      </c>
      <c r="E5" s="713">
        <v>526092</v>
      </c>
      <c r="K5" s="710"/>
    </row>
    <row r="6" spans="1:12">
      <c r="A6" s="714"/>
      <c r="B6" s="709"/>
      <c r="C6" s="709"/>
      <c r="D6" s="709"/>
      <c r="E6" s="715"/>
    </row>
    <row r="7" spans="1:12">
      <c r="A7" s="711" t="s">
        <v>434</v>
      </c>
      <c r="B7" s="709"/>
      <c r="C7" s="709"/>
      <c r="D7" s="709"/>
      <c r="E7" s="715"/>
    </row>
    <row r="8" spans="1:12">
      <c r="A8" s="714" t="s">
        <v>436</v>
      </c>
      <c r="B8" s="716">
        <f>ROUND(+'New Year-Full Year'!P42,0)</f>
        <v>27750</v>
      </c>
      <c r="C8" s="716">
        <f>ROUND(+'New Year-Full Year'!U42,0)</f>
        <v>32429</v>
      </c>
      <c r="D8" s="716">
        <f>ROUND(+'New Year-Full Year'!Q42,0)</f>
        <v>40040</v>
      </c>
      <c r="E8" s="717">
        <v>51330</v>
      </c>
      <c r="J8" s="585"/>
      <c r="K8" s="585"/>
      <c r="L8" s="585"/>
    </row>
    <row r="9" spans="1:12">
      <c r="A9" s="714" t="s">
        <v>437</v>
      </c>
      <c r="B9" s="716">
        <f>ROUND(+'New Year-Full Year'!P99,0)</f>
        <v>41675</v>
      </c>
      <c r="C9" s="716">
        <f>ROUND(+'New Year-Full Year'!U99,0)</f>
        <v>21231</v>
      </c>
      <c r="D9" s="716">
        <f>ROUND(+'New Year-Full Year'!Q99,0)</f>
        <v>52825</v>
      </c>
      <c r="E9" s="717">
        <v>45980</v>
      </c>
    </row>
    <row r="10" spans="1:12">
      <c r="A10" s="714" t="s">
        <v>438</v>
      </c>
      <c r="B10" s="716">
        <f>ROUND(+'New Year-Full Year'!P162,0)</f>
        <v>329894</v>
      </c>
      <c r="C10" s="716">
        <f>ROUND(+'New Year-Full Year'!U162,0)</f>
        <v>233617</v>
      </c>
      <c r="D10" s="716">
        <f>ROUND(+'New Year-Full Year'!Q162,0)</f>
        <v>342612</v>
      </c>
      <c r="E10" s="717">
        <v>322862</v>
      </c>
    </row>
    <row r="11" spans="1:12" ht="16">
      <c r="A11" s="714" t="s">
        <v>439</v>
      </c>
      <c r="B11" s="718">
        <f>ROUND(+'New Year-Full Year'!P190,0)</f>
        <v>72302</v>
      </c>
      <c r="C11" s="718">
        <f>ROUND(+'New Year-Full Year'!U190,0)</f>
        <v>49581</v>
      </c>
      <c r="D11" s="718">
        <f>ROUND(+'New Year-Full Year'!Q190,0)</f>
        <v>71208</v>
      </c>
      <c r="E11" s="719">
        <v>81690</v>
      </c>
    </row>
    <row r="12" spans="1:12">
      <c r="A12" s="711" t="s">
        <v>435</v>
      </c>
      <c r="B12" s="712">
        <f>SUM(B8:B11)</f>
        <v>471621</v>
      </c>
      <c r="C12" s="712">
        <f t="shared" ref="C12:E12" si="0">SUM(C8:C11)</f>
        <v>336858</v>
      </c>
      <c r="D12" s="712">
        <f t="shared" si="0"/>
        <v>506685</v>
      </c>
      <c r="E12" s="720">
        <f t="shared" si="0"/>
        <v>501862</v>
      </c>
    </row>
    <row r="13" spans="1:12" ht="15" thickBot="1">
      <c r="A13" s="714"/>
      <c r="B13" s="709"/>
      <c r="C13" s="709"/>
      <c r="D13" s="709"/>
      <c r="E13" s="715"/>
    </row>
    <row r="14" spans="1:12" ht="15" thickTop="1">
      <c r="A14" s="711" t="s">
        <v>432</v>
      </c>
      <c r="B14" s="712">
        <f>+B5-B12</f>
        <v>-701</v>
      </c>
      <c r="C14" s="712">
        <f t="shared" ref="C14:E14" si="1">+C5-C12</f>
        <v>113668</v>
      </c>
      <c r="D14" s="712">
        <f t="shared" si="1"/>
        <v>-8185</v>
      </c>
      <c r="E14" s="720">
        <f t="shared" si="1"/>
        <v>24230</v>
      </c>
      <c r="G14" s="872" t="s">
        <v>478</v>
      </c>
    </row>
    <row r="15" spans="1:12">
      <c r="A15" s="714"/>
      <c r="B15" s="709"/>
      <c r="C15" s="709"/>
      <c r="D15" s="709"/>
      <c r="E15" s="715"/>
      <c r="G15" s="873"/>
      <c r="H15" s="709"/>
    </row>
    <row r="16" spans="1:12" ht="15" thickBot="1">
      <c r="A16" s="711" t="s">
        <v>440</v>
      </c>
      <c r="B16" s="709"/>
      <c r="C16" s="709"/>
      <c r="D16" s="709"/>
      <c r="E16" s="715"/>
      <c r="G16" s="874"/>
      <c r="H16" s="709"/>
    </row>
    <row r="17" spans="1:8" ht="15" thickTop="1">
      <c r="A17" s="714" t="s">
        <v>441</v>
      </c>
      <c r="B17" s="716">
        <f>ROUND(+'New Year-Full Year'!P193,0)</f>
        <v>0</v>
      </c>
      <c r="C17" s="716">
        <f>ROUND(+'New Year-Full Year'!U193,0)</f>
        <v>28100</v>
      </c>
      <c r="D17" s="716">
        <f>ROUND(+'New Year-Full Year'!Q193,0)</f>
        <v>-8185</v>
      </c>
      <c r="E17" s="717">
        <v>3000</v>
      </c>
      <c r="G17" s="787">
        <v>48804.66</v>
      </c>
      <c r="H17" s="709"/>
    </row>
    <row r="18" spans="1:8">
      <c r="A18" s="714" t="s">
        <v>442</v>
      </c>
      <c r="B18" s="716">
        <f>ROUND(+'New Year-Full Year'!P195,0)</f>
        <v>0</v>
      </c>
      <c r="C18" s="716">
        <f>ROUND(+'New Year-Full Year'!U195,0)</f>
        <v>0</v>
      </c>
      <c r="D18" s="716">
        <f>ROUND(+'New Year-Full Year'!Q195,0)</f>
        <v>0</v>
      </c>
      <c r="E18" s="717">
        <v>15230</v>
      </c>
      <c r="G18" s="787">
        <v>194613.05</v>
      </c>
      <c r="H18" s="709"/>
    </row>
    <row r="19" spans="1:8">
      <c r="A19" s="714" t="s">
        <v>443</v>
      </c>
      <c r="B19" s="716">
        <f>ROUND(+'New Year-Full Year'!P196,0)</f>
        <v>0</v>
      </c>
      <c r="C19" s="716">
        <f>ROUND(+'New Year-Full Year'!U196,0)</f>
        <v>0</v>
      </c>
      <c r="D19" s="716">
        <f>ROUND(+'New Year-Full Year'!Q196,0)</f>
        <v>0</v>
      </c>
      <c r="E19" s="717">
        <v>6000</v>
      </c>
      <c r="G19" s="787">
        <v>24773.62</v>
      </c>
      <c r="H19" s="709"/>
    </row>
    <row r="20" spans="1:8" ht="16">
      <c r="A20" s="714" t="s">
        <v>444</v>
      </c>
      <c r="B20" s="718">
        <f>ROUND(+'New Year-Full Year'!P197,0)</f>
        <v>0</v>
      </c>
      <c r="C20" s="718">
        <f>ROUND(+'New Year-Full Year'!U197,0)</f>
        <v>28100</v>
      </c>
      <c r="D20" s="718">
        <f>ROUND(+'New Year-Full Year'!Q197,0)</f>
        <v>0</v>
      </c>
      <c r="E20" s="719">
        <v>0</v>
      </c>
      <c r="G20" s="788">
        <v>25760</v>
      </c>
      <c r="H20" s="709"/>
    </row>
    <row r="21" spans="1:8" ht="15" thickBot="1">
      <c r="A21" s="711" t="s">
        <v>81</v>
      </c>
      <c r="B21" s="721">
        <f>SUM(B17:B20)</f>
        <v>0</v>
      </c>
      <c r="C21" s="721">
        <f t="shared" ref="C21:E21" si="2">SUM(C17:C20)</f>
        <v>56200</v>
      </c>
      <c r="D21" s="721">
        <f t="shared" si="2"/>
        <v>-8185</v>
      </c>
      <c r="E21" s="722">
        <f t="shared" si="2"/>
        <v>24230</v>
      </c>
      <c r="F21" s="710"/>
      <c r="G21" s="790">
        <f t="shared" ref="G21" si="3">SUM(G17:G20)</f>
        <v>293951.33</v>
      </c>
      <c r="H21" s="709"/>
    </row>
    <row r="22" spans="1:8" ht="15" thickTop="1">
      <c r="A22" s="714"/>
      <c r="B22" s="730"/>
      <c r="C22" s="730"/>
      <c r="D22" s="730"/>
      <c r="E22" s="731"/>
    </row>
    <row r="23" spans="1:8" ht="15" thickBot="1">
      <c r="A23" s="723" t="s">
        <v>445</v>
      </c>
      <c r="B23" s="791">
        <f>ROUND(+B14-B21,0)</f>
        <v>-701</v>
      </c>
      <c r="C23" s="791">
        <f>ROUND(+C14-C21,0)</f>
        <v>57468</v>
      </c>
      <c r="D23" s="724">
        <f t="shared" ref="D23:E23" si="4">+D14-D21</f>
        <v>0</v>
      </c>
      <c r="E23" s="725">
        <f t="shared" si="4"/>
        <v>0</v>
      </c>
    </row>
    <row r="24" spans="1:8" ht="15" thickTop="1"/>
  </sheetData>
  <mergeCells count="2">
    <mergeCell ref="G14:G16"/>
    <mergeCell ref="A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00B050"/>
    <pageSetUpPr fitToPage="1"/>
  </sheetPr>
  <dimension ref="A1:AL254"/>
  <sheetViews>
    <sheetView showGridLines="0" tabSelected="1" topLeftCell="B3" workbookViewId="0">
      <pane xSplit="14" ySplit="2" topLeftCell="P189" activePane="bottomRight" state="frozen"/>
      <selection activeCell="I112" sqref="I112"/>
      <selection pane="topRight" activeCell="I112" sqref="I112"/>
      <selection pane="bottomLeft" activeCell="I112" sqref="I112"/>
      <selection pane="bottomRight" activeCell="X130" sqref="X130"/>
    </sheetView>
  </sheetViews>
  <sheetFormatPr defaultColWidth="9.08984375" defaultRowHeight="14.5" outlineLevelCol="2"/>
  <cols>
    <col min="1" max="1" width="4.453125" style="43" hidden="1" customWidth="1"/>
    <col min="2" max="2" width="4.36328125" style="2" customWidth="1"/>
    <col min="3" max="3" width="9.08984375" style="1"/>
    <col min="4" max="4" width="21.1796875" style="50" customWidth="1"/>
    <col min="5" max="5" width="11.54296875" style="79" hidden="1" customWidth="1" outlineLevel="1"/>
    <col min="6" max="6" width="11.36328125" style="39" hidden="1" customWidth="1" outlineLevel="1"/>
    <col min="7" max="7" width="8.6328125" style="39" hidden="1" customWidth="1" outlineLevel="1"/>
    <col min="8" max="8" width="10" style="39" hidden="1" customWidth="1" outlineLevel="1"/>
    <col min="9" max="9" width="10.6328125" style="39" hidden="1" customWidth="1" outlineLevel="2"/>
    <col min="10" max="10" width="8.08984375" style="39" hidden="1" customWidth="1" outlineLevel="2"/>
    <col min="11" max="11" width="10.36328125" style="39" hidden="1" customWidth="1" outlineLevel="2"/>
    <col min="12" max="12" width="7.08984375" style="39" hidden="1" customWidth="1" outlineLevel="2"/>
    <col min="13" max="14" width="8.36328125" style="39"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5" customWidth="1"/>
    <col min="25" max="25" width="58.6328125" style="36" hidden="1" customWidth="1"/>
    <col min="26" max="26" width="8.6328125" style="1" customWidth="1"/>
    <col min="27" max="27" width="13" style="1" hidden="1" customWidth="1" outlineLevel="1"/>
    <col min="28" max="29" width="9.08984375" style="1" hidden="1" customWidth="1" outlineLevel="1"/>
    <col min="30" max="37" width="14.6328125" style="1" hidden="1" customWidth="1" outlineLevel="1"/>
    <col min="38" max="38" width="9.08984375" style="1" collapsed="1"/>
    <col min="39" max="16384" width="9.08984375" style="1"/>
  </cols>
  <sheetData>
    <row r="1" spans="1:37" ht="41.25" customHeight="1">
      <c r="B1" s="855" t="s">
        <v>87</v>
      </c>
      <c r="C1" s="855"/>
      <c r="D1" s="855"/>
      <c r="E1" s="855"/>
      <c r="F1" s="855"/>
      <c r="G1" s="855"/>
      <c r="H1" s="855"/>
      <c r="I1" s="855"/>
      <c r="J1" s="855"/>
      <c r="K1" s="855"/>
      <c r="L1" s="855"/>
      <c r="M1" s="855"/>
      <c r="N1" s="855"/>
      <c r="O1" s="855"/>
      <c r="P1" s="855"/>
      <c r="Q1" s="855"/>
      <c r="R1" s="855"/>
      <c r="S1" s="855"/>
      <c r="T1" s="855"/>
      <c r="U1" s="855"/>
      <c r="V1" s="855"/>
      <c r="W1" s="855"/>
      <c r="X1" s="855"/>
      <c r="Y1" s="1"/>
    </row>
    <row r="2" spans="1:37" ht="23.25" customHeight="1">
      <c r="P2" s="860" t="s">
        <v>86</v>
      </c>
      <c r="Q2" s="861"/>
      <c r="R2" s="861"/>
      <c r="S2" s="862"/>
      <c r="U2" s="890" t="str">
        <f>Bud_Yr-1&amp;" Year to Date (YTD)"</f>
        <v>2021 Year to Date (YTD)</v>
      </c>
      <c r="V2" s="891"/>
      <c r="W2" s="892"/>
    </row>
    <row r="3" spans="1:37" ht="27.65" customHeight="1">
      <c r="P3" s="899" t="str">
        <f>Bud_Yr&amp;" Budget"</f>
        <v>2022 Budget</v>
      </c>
      <c r="Q3" s="900" t="str">
        <f>Bud_Yr-1&amp;" Budget"</f>
        <v>2021 Budget</v>
      </c>
      <c r="R3" s="893" t="str">
        <f>Bud_Yr&amp;" Budget vs             "&amp;Bud_Yr-1&amp;" Budget"</f>
        <v>2022 Budget vs             2021 Budget</v>
      </c>
      <c r="S3" s="894"/>
      <c r="T3" s="50"/>
      <c r="U3" s="895" t="s">
        <v>605</v>
      </c>
      <c r="V3" s="897" t="s">
        <v>606</v>
      </c>
      <c r="W3" s="870" t="s">
        <v>85</v>
      </c>
      <c r="AD3" s="886" t="str">
        <f>Bud_Yr&amp;" Budget"</f>
        <v>2022 Budget</v>
      </c>
      <c r="AE3" s="887"/>
      <c r="AF3" s="887"/>
      <c r="AG3" s="888"/>
      <c r="AH3" s="886" t="str">
        <f>+U3</f>
        <v>Oct 2021 YTD Actual</v>
      </c>
      <c r="AI3" s="887"/>
      <c r="AJ3" s="887"/>
      <c r="AK3" s="888"/>
    </row>
    <row r="4" spans="1:37" s="2" customFormat="1">
      <c r="A4" s="44"/>
      <c r="D4" s="15"/>
      <c r="E4" s="80"/>
      <c r="F4" s="81"/>
      <c r="G4" s="81"/>
      <c r="H4" s="81"/>
      <c r="I4" s="81"/>
      <c r="J4" s="81"/>
      <c r="K4" s="81"/>
      <c r="L4" s="81"/>
      <c r="M4" s="81"/>
      <c r="N4" s="81"/>
      <c r="P4" s="886"/>
      <c r="Q4" s="887"/>
      <c r="R4" s="49" t="s">
        <v>113</v>
      </c>
      <c r="S4" s="51" t="s">
        <v>114</v>
      </c>
      <c r="U4" s="896"/>
      <c r="V4" s="898"/>
      <c r="W4" s="871"/>
      <c r="X4" s="56" t="str">
        <f>Bud_Yr&amp;" Budget Notes"</f>
        <v>2022 Budget Notes</v>
      </c>
      <c r="Y4" s="6" t="s">
        <v>115</v>
      </c>
      <c r="AD4" s="386" t="s">
        <v>347</v>
      </c>
      <c r="AE4" s="387" t="s">
        <v>282</v>
      </c>
      <c r="AF4" s="387" t="s">
        <v>283</v>
      </c>
      <c r="AG4" s="387" t="s">
        <v>284</v>
      </c>
      <c r="AH4" s="386" t="s">
        <v>347</v>
      </c>
      <c r="AI4" s="387" t="s">
        <v>282</v>
      </c>
      <c r="AJ4" s="387" t="s">
        <v>283</v>
      </c>
      <c r="AK4" s="387" t="s">
        <v>284</v>
      </c>
    </row>
    <row r="5" spans="1:37" s="2" customFormat="1" ht="18.5">
      <c r="A5" s="44"/>
      <c r="B5" s="7" t="s">
        <v>0</v>
      </c>
      <c r="D5" s="15"/>
      <c r="E5" s="80"/>
      <c r="F5" s="81"/>
      <c r="G5" s="81"/>
      <c r="H5" s="81"/>
      <c r="I5" s="81"/>
      <c r="J5" s="81"/>
      <c r="K5" s="81"/>
      <c r="L5" s="81"/>
      <c r="M5" s="81"/>
      <c r="N5" s="81"/>
      <c r="P5" s="8"/>
      <c r="Q5" s="9"/>
      <c r="R5" s="40"/>
      <c r="S5" s="9"/>
      <c r="U5" s="9"/>
      <c r="V5" s="9"/>
      <c r="W5" s="9"/>
      <c r="X5" s="71"/>
      <c r="Y5" s="57"/>
    </row>
    <row r="6" spans="1:37">
      <c r="A6" s="43">
        <v>1</v>
      </c>
      <c r="B6" s="2" t="s">
        <v>1</v>
      </c>
      <c r="X6" s="72"/>
      <c r="Y6" s="70"/>
    </row>
    <row r="7" spans="1:37">
      <c r="A7" s="43">
        <v>2</v>
      </c>
      <c r="C7" s="398" t="s">
        <v>1</v>
      </c>
      <c r="D7" s="399"/>
      <c r="E7" s="400"/>
      <c r="F7" s="401"/>
      <c r="G7" s="401"/>
      <c r="H7" s="401"/>
      <c r="I7" s="401"/>
      <c r="J7" s="401"/>
      <c r="K7" s="401"/>
      <c r="L7" s="401"/>
      <c r="M7" s="401"/>
      <c r="N7" s="401"/>
      <c r="O7" s="398"/>
      <c r="P7" s="406">
        <f>(475000+2000)*0.96</f>
        <v>457920</v>
      </c>
      <c r="Q7" s="402">
        <v>477000</v>
      </c>
      <c r="R7" s="403">
        <f t="shared" ref="R7:R13" si="0">+P7-Q7</f>
        <v>-19080</v>
      </c>
      <c r="S7" s="404">
        <f t="shared" ref="S7:S14" si="1">IF(Q7=0,"NA",(+P7-Q7)/Q7)</f>
        <v>-0.04</v>
      </c>
      <c r="T7" s="398"/>
      <c r="U7" s="402">
        <v>387236.64</v>
      </c>
      <c r="V7" s="402">
        <v>399178.07</v>
      </c>
      <c r="W7" s="404">
        <f t="shared" ref="W7:W14" si="2">IF(V7=0,"NA",(+U7-V7)/V7)</f>
        <v>-2.9915045182717561E-2</v>
      </c>
      <c r="X7" s="646" t="s">
        <v>604</v>
      </c>
      <c r="Y7" s="58" t="s">
        <v>122</v>
      </c>
    </row>
    <row r="8" spans="1:37">
      <c r="C8" s="398"/>
      <c r="D8" s="399"/>
      <c r="E8" s="400"/>
      <c r="F8" s="401"/>
      <c r="G8" s="401"/>
      <c r="H8" s="401"/>
      <c r="I8" s="401"/>
      <c r="J8" s="401"/>
      <c r="K8" s="401"/>
      <c r="L8" s="401"/>
      <c r="M8" s="401"/>
      <c r="N8" s="401"/>
      <c r="O8" s="398"/>
      <c r="P8" s="406"/>
      <c r="Q8" s="402"/>
      <c r="R8" s="403"/>
      <c r="S8" s="404"/>
      <c r="T8" s="398"/>
      <c r="U8" s="402"/>
      <c r="V8" s="402"/>
      <c r="W8" s="404"/>
      <c r="X8" s="405" t="s">
        <v>607</v>
      </c>
      <c r="Y8" s="58"/>
    </row>
    <row r="9" spans="1:37" hidden="1">
      <c r="C9" s="238" t="s">
        <v>349</v>
      </c>
      <c r="D9" s="248"/>
      <c r="E9" s="249"/>
      <c r="F9" s="250"/>
      <c r="G9" s="250"/>
      <c r="H9" s="250"/>
      <c r="I9" s="250"/>
      <c r="J9" s="250"/>
      <c r="K9" s="250"/>
      <c r="L9" s="250"/>
      <c r="M9" s="250"/>
      <c r="N9" s="250"/>
      <c r="O9" s="238"/>
      <c r="P9" s="235">
        <v>0</v>
      </c>
      <c r="Q9" s="235">
        <v>0</v>
      </c>
      <c r="R9" s="236">
        <f t="shared" si="0"/>
        <v>0</v>
      </c>
      <c r="S9" s="237" t="str">
        <f t="shared" si="1"/>
        <v>NA</v>
      </c>
      <c r="T9" s="238"/>
      <c r="U9" s="235">
        <v>0</v>
      </c>
      <c r="V9" s="235">
        <v>0</v>
      </c>
      <c r="W9" s="237" t="str">
        <f>IF(V9=0,"NA",(+U9-V9)/V9)</f>
        <v>NA</v>
      </c>
      <c r="X9" s="234"/>
      <c r="Y9" s="58"/>
    </row>
    <row r="10" spans="1:37">
      <c r="A10" s="43">
        <v>4</v>
      </c>
      <c r="C10" s="238" t="s">
        <v>2</v>
      </c>
      <c r="D10" s="248"/>
      <c r="E10" s="249"/>
      <c r="F10" s="250"/>
      <c r="G10" s="250"/>
      <c r="H10" s="250"/>
      <c r="I10" s="250"/>
      <c r="J10" s="250"/>
      <c r="K10" s="250"/>
      <c r="L10" s="250"/>
      <c r="M10" s="250"/>
      <c r="N10" s="250"/>
      <c r="O10" s="238"/>
      <c r="P10" s="235">
        <v>2000</v>
      </c>
      <c r="Q10" s="235">
        <v>3500</v>
      </c>
      <c r="R10" s="236">
        <f t="shared" si="0"/>
        <v>-1500</v>
      </c>
      <c r="S10" s="237">
        <f t="shared" si="1"/>
        <v>-0.42857142857142855</v>
      </c>
      <c r="T10" s="238"/>
      <c r="U10" s="235">
        <v>2910</v>
      </c>
      <c r="V10" s="235">
        <v>3500</v>
      </c>
      <c r="W10" s="237">
        <f t="shared" si="2"/>
        <v>-0.16857142857142857</v>
      </c>
      <c r="X10" s="239"/>
      <c r="Y10" s="58"/>
    </row>
    <row r="11" spans="1:37">
      <c r="A11" s="43">
        <v>5</v>
      </c>
      <c r="C11" s="238" t="s">
        <v>3</v>
      </c>
      <c r="D11" s="248"/>
      <c r="E11" s="249"/>
      <c r="F11" s="250"/>
      <c r="G11" s="250"/>
      <c r="H11" s="250"/>
      <c r="I11" s="250"/>
      <c r="J11" s="250"/>
      <c r="K11" s="250"/>
      <c r="L11" s="250"/>
      <c r="M11" s="250"/>
      <c r="N11" s="250"/>
      <c r="O11" s="238"/>
      <c r="P11" s="235">
        <v>500</v>
      </c>
      <c r="Q11" s="235">
        <v>1000</v>
      </c>
      <c r="R11" s="236">
        <f t="shared" si="0"/>
        <v>-500</v>
      </c>
      <c r="S11" s="237">
        <f t="shared" si="1"/>
        <v>-0.5</v>
      </c>
      <c r="T11" s="238"/>
      <c r="U11" s="235">
        <v>25</v>
      </c>
      <c r="V11" s="235">
        <v>0</v>
      </c>
      <c r="W11" s="237" t="str">
        <f t="shared" si="2"/>
        <v>NA</v>
      </c>
      <c r="X11" s="823"/>
      <c r="Y11" s="58"/>
    </row>
    <row r="12" spans="1:37">
      <c r="A12" s="43">
        <v>6</v>
      </c>
      <c r="C12" s="238" t="s">
        <v>4</v>
      </c>
      <c r="D12" s="248"/>
      <c r="E12" s="249"/>
      <c r="F12" s="250"/>
      <c r="G12" s="250"/>
      <c r="H12" s="250"/>
      <c r="I12" s="250"/>
      <c r="J12" s="250"/>
      <c r="K12" s="250"/>
      <c r="L12" s="250"/>
      <c r="M12" s="250"/>
      <c r="N12" s="250"/>
      <c r="O12" s="238"/>
      <c r="P12" s="235">
        <v>5000</v>
      </c>
      <c r="Q12" s="235">
        <v>5000</v>
      </c>
      <c r="R12" s="236">
        <f t="shared" si="0"/>
        <v>0</v>
      </c>
      <c r="S12" s="237">
        <f t="shared" si="1"/>
        <v>0</v>
      </c>
      <c r="T12" s="238"/>
      <c r="U12" s="235">
        <v>25</v>
      </c>
      <c r="V12" s="235">
        <v>0</v>
      </c>
      <c r="W12" s="237" t="str">
        <f t="shared" si="2"/>
        <v>NA</v>
      </c>
      <c r="X12" s="239"/>
      <c r="Y12" s="58"/>
    </row>
    <row r="13" spans="1:37">
      <c r="A13" s="43">
        <v>7</v>
      </c>
      <c r="C13" s="238" t="s">
        <v>5</v>
      </c>
      <c r="D13" s="248"/>
      <c r="E13" s="249"/>
      <c r="F13" s="250"/>
      <c r="G13" s="250"/>
      <c r="H13" s="250"/>
      <c r="I13" s="250"/>
      <c r="J13" s="250"/>
      <c r="K13" s="250"/>
      <c r="L13" s="250"/>
      <c r="M13" s="250"/>
      <c r="N13" s="250"/>
      <c r="O13" s="238"/>
      <c r="P13" s="235">
        <v>1500</v>
      </c>
      <c r="Q13" s="235">
        <v>3000</v>
      </c>
      <c r="R13" s="236">
        <f t="shared" si="0"/>
        <v>-1500</v>
      </c>
      <c r="S13" s="237">
        <f t="shared" si="1"/>
        <v>-0.5</v>
      </c>
      <c r="T13" s="238"/>
      <c r="U13" s="235">
        <v>817</v>
      </c>
      <c r="V13" s="235">
        <v>3000</v>
      </c>
      <c r="W13" s="237">
        <f t="shared" si="2"/>
        <v>-0.72766666666666668</v>
      </c>
      <c r="X13" s="239"/>
      <c r="Y13" s="58"/>
    </row>
    <row r="14" spans="1:37">
      <c r="A14" s="43">
        <v>8</v>
      </c>
      <c r="B14" s="10" t="s">
        <v>6</v>
      </c>
      <c r="C14" s="10"/>
      <c r="D14" s="10"/>
      <c r="E14" s="82"/>
      <c r="F14" s="82"/>
      <c r="G14" s="82"/>
      <c r="H14" s="82"/>
      <c r="I14" s="82"/>
      <c r="J14" s="82"/>
      <c r="K14" s="82"/>
      <c r="L14" s="82"/>
      <c r="M14" s="82"/>
      <c r="N14" s="82"/>
      <c r="O14" s="10"/>
      <c r="P14" s="10">
        <f>SUM(P7:P13)</f>
        <v>466920</v>
      </c>
      <c r="Q14" s="10">
        <f>SUM(Q7:Q13)</f>
        <v>489500</v>
      </c>
      <c r="R14" s="10">
        <f>SUM(R7:R13)</f>
        <v>-22580</v>
      </c>
      <c r="S14" s="11">
        <f t="shared" si="1"/>
        <v>-4.6128702757916244E-2</v>
      </c>
      <c r="U14" s="10">
        <f>SUM(U7:U13)</f>
        <v>391013.64</v>
      </c>
      <c r="V14" s="10">
        <f>SUM(V7:V13)</f>
        <v>405678.07</v>
      </c>
      <c r="W14" s="11">
        <f t="shared" si="2"/>
        <v>-3.6147948544519533E-2</v>
      </c>
      <c r="X14" s="73"/>
      <c r="Y14" s="59"/>
    </row>
    <row r="15" spans="1:37" ht="5.25" customHeight="1">
      <c r="A15" s="43">
        <v>9</v>
      </c>
      <c r="S15" s="5"/>
      <c r="X15" s="73"/>
      <c r="Y15" s="59"/>
    </row>
    <row r="16" spans="1:37">
      <c r="A16" s="43">
        <v>10</v>
      </c>
      <c r="B16" s="2" t="s">
        <v>7</v>
      </c>
      <c r="S16" s="5"/>
      <c r="X16" s="73"/>
      <c r="Y16" s="59"/>
    </row>
    <row r="17" spans="1:26">
      <c r="A17" s="43">
        <v>11</v>
      </c>
      <c r="C17" s="233" t="s">
        <v>333</v>
      </c>
      <c r="D17" s="245"/>
      <c r="E17" s="246"/>
      <c r="F17" s="247"/>
      <c r="G17" s="247"/>
      <c r="H17" s="247"/>
      <c r="I17" s="247"/>
      <c r="J17" s="247"/>
      <c r="K17" s="247"/>
      <c r="L17" s="247"/>
      <c r="M17" s="247"/>
      <c r="N17" s="247"/>
      <c r="O17" s="233"/>
      <c r="P17" s="230">
        <v>4000</v>
      </c>
      <c r="Q17" s="230">
        <v>9000</v>
      </c>
      <c r="R17" s="231">
        <f>+P17-Q17</f>
        <v>-5000</v>
      </c>
      <c r="S17" s="232">
        <f t="shared" ref="S17:S23" si="3">IF(Q17=0,"NA",(+P17-Q17)/Q17)</f>
        <v>-0.55555555555555558</v>
      </c>
      <c r="T17" s="233"/>
      <c r="U17" s="230">
        <f>59512.31-0.63</f>
        <v>59511.68</v>
      </c>
      <c r="V17" s="230">
        <v>7500</v>
      </c>
      <c r="W17" s="232">
        <f t="shared" ref="W17:W23" si="4">IF(V17=0,"NA",(+U17-V17)/V17)</f>
        <v>6.934890666666667</v>
      </c>
      <c r="X17" s="234" t="s">
        <v>493</v>
      </c>
      <c r="Y17" s="58"/>
    </row>
    <row r="18" spans="1:26" hidden="1">
      <c r="A18" s="43">
        <v>12</v>
      </c>
      <c r="C18" s="238" t="s">
        <v>7</v>
      </c>
      <c r="D18" s="248"/>
      <c r="E18" s="249"/>
      <c r="F18" s="250"/>
      <c r="G18" s="250"/>
      <c r="H18" s="250"/>
      <c r="I18" s="250"/>
      <c r="J18" s="250"/>
      <c r="K18" s="250"/>
      <c r="L18" s="250"/>
      <c r="M18" s="250"/>
      <c r="N18" s="250"/>
      <c r="O18" s="238"/>
      <c r="P18" s="235">
        <v>0</v>
      </c>
      <c r="Q18" s="235">
        <v>0</v>
      </c>
      <c r="R18" s="236">
        <f>+P18-Q18</f>
        <v>0</v>
      </c>
      <c r="S18" s="237" t="str">
        <f t="shared" si="3"/>
        <v>NA</v>
      </c>
      <c r="T18" s="238"/>
      <c r="U18" s="235">
        <v>0</v>
      </c>
      <c r="V18" s="235">
        <v>0</v>
      </c>
      <c r="W18" s="237" t="str">
        <f t="shared" si="4"/>
        <v>NA</v>
      </c>
      <c r="X18" s="254"/>
      <c r="Y18" s="59"/>
      <c r="Z18" s="1">
        <v>0</v>
      </c>
    </row>
    <row r="19" spans="1:26" hidden="1">
      <c r="A19" s="43">
        <v>13</v>
      </c>
      <c r="C19" s="238" t="s">
        <v>8</v>
      </c>
      <c r="D19" s="248"/>
      <c r="E19" s="249"/>
      <c r="F19" s="250"/>
      <c r="G19" s="250"/>
      <c r="H19" s="250"/>
      <c r="I19" s="250"/>
      <c r="J19" s="250"/>
      <c r="K19" s="250"/>
      <c r="L19" s="250"/>
      <c r="M19" s="250"/>
      <c r="N19" s="250"/>
      <c r="O19" s="238"/>
      <c r="P19" s="235">
        <v>0</v>
      </c>
      <c r="Q19" s="235">
        <v>0</v>
      </c>
      <c r="R19" s="236">
        <f>+P19-Q19</f>
        <v>0</v>
      </c>
      <c r="S19" s="237" t="str">
        <f t="shared" si="3"/>
        <v>NA</v>
      </c>
      <c r="T19" s="238"/>
      <c r="U19" s="235">
        <v>0</v>
      </c>
      <c r="V19" s="235">
        <v>0</v>
      </c>
      <c r="W19" s="237" t="str">
        <f t="shared" si="4"/>
        <v>NA</v>
      </c>
      <c r="X19" s="254"/>
      <c r="Y19" s="59"/>
      <c r="Z19" s="1">
        <v>0</v>
      </c>
    </row>
    <row r="20" spans="1:26">
      <c r="A20" s="43">
        <v>14</v>
      </c>
      <c r="C20" s="238" t="s">
        <v>10</v>
      </c>
      <c r="D20" s="248"/>
      <c r="E20" s="249"/>
      <c r="F20" s="250"/>
      <c r="G20" s="250"/>
      <c r="H20" s="250"/>
      <c r="I20" s="250"/>
      <c r="J20" s="250"/>
      <c r="K20" s="250"/>
      <c r="L20" s="250"/>
      <c r="M20" s="250"/>
      <c r="N20" s="250"/>
      <c r="O20" s="238"/>
      <c r="P20" s="235">
        <v>0</v>
      </c>
      <c r="Q20" s="235">
        <v>0</v>
      </c>
      <c r="R20" s="236">
        <f>+P20-Q20</f>
        <v>0</v>
      </c>
      <c r="S20" s="237" t="str">
        <f t="shared" si="3"/>
        <v>NA</v>
      </c>
      <c r="T20" s="238"/>
      <c r="U20" s="235">
        <v>0.63</v>
      </c>
      <c r="V20" s="235">
        <v>0</v>
      </c>
      <c r="W20" s="237" t="str">
        <f t="shared" si="4"/>
        <v>NA</v>
      </c>
      <c r="X20" s="254"/>
      <c r="Y20" s="59"/>
    </row>
    <row r="21" spans="1:26" hidden="1">
      <c r="A21" s="43">
        <v>15</v>
      </c>
      <c r="C21" s="243" t="s">
        <v>95</v>
      </c>
      <c r="D21" s="251"/>
      <c r="E21" s="252"/>
      <c r="F21" s="253"/>
      <c r="G21" s="253"/>
      <c r="H21" s="253"/>
      <c r="I21" s="253"/>
      <c r="J21" s="253"/>
      <c r="K21" s="253"/>
      <c r="L21" s="253"/>
      <c r="M21" s="253"/>
      <c r="N21" s="253"/>
      <c r="O21" s="243"/>
      <c r="P21" s="240">
        <v>0</v>
      </c>
      <c r="Q21" s="240">
        <v>0</v>
      </c>
      <c r="R21" s="241">
        <f>+P21-Q21</f>
        <v>0</v>
      </c>
      <c r="S21" s="242" t="str">
        <f t="shared" si="3"/>
        <v>NA</v>
      </c>
      <c r="T21" s="243"/>
      <c r="U21" s="240">
        <v>0</v>
      </c>
      <c r="V21" s="240">
        <v>0</v>
      </c>
      <c r="W21" s="242" t="str">
        <f t="shared" si="4"/>
        <v>NA</v>
      </c>
      <c r="X21" s="255"/>
      <c r="Y21" s="59"/>
      <c r="Z21" s="1">
        <v>11000</v>
      </c>
    </row>
    <row r="22" spans="1:26">
      <c r="A22" s="43">
        <v>16</v>
      </c>
      <c r="B22" s="10" t="s">
        <v>9</v>
      </c>
      <c r="C22" s="10"/>
      <c r="D22" s="10"/>
      <c r="E22" s="82"/>
      <c r="F22" s="82"/>
      <c r="G22" s="82"/>
      <c r="H22" s="82"/>
      <c r="I22" s="82"/>
      <c r="J22" s="82"/>
      <c r="K22" s="82"/>
      <c r="L22" s="82"/>
      <c r="M22" s="82"/>
      <c r="N22" s="82"/>
      <c r="O22" s="10"/>
      <c r="P22" s="10">
        <f>SUM(P17:P21)</f>
        <v>4000</v>
      </c>
      <c r="Q22" s="10">
        <f>SUM(Q17:Q21)</f>
        <v>9000</v>
      </c>
      <c r="R22" s="10">
        <f>SUM(R17:R21)</f>
        <v>-5000</v>
      </c>
      <c r="S22" s="11">
        <f t="shared" si="3"/>
        <v>-0.55555555555555558</v>
      </c>
      <c r="U22" s="10">
        <f>SUM(U17:U21)</f>
        <v>59512.31</v>
      </c>
      <c r="V22" s="10">
        <f>SUM(V17:V21)</f>
        <v>7500</v>
      </c>
      <c r="W22" s="11">
        <f t="shared" si="4"/>
        <v>6.9349746666666663</v>
      </c>
      <c r="X22" s="73"/>
      <c r="Y22" s="59"/>
    </row>
    <row r="23" spans="1:26">
      <c r="A23" s="43">
        <v>17</v>
      </c>
      <c r="B23" s="10" t="s">
        <v>11</v>
      </c>
      <c r="C23" s="10"/>
      <c r="D23" s="10"/>
      <c r="E23" s="82"/>
      <c r="F23" s="82"/>
      <c r="G23" s="82"/>
      <c r="H23" s="82"/>
      <c r="I23" s="82"/>
      <c r="J23" s="82"/>
      <c r="K23" s="82"/>
      <c r="L23" s="82"/>
      <c r="M23" s="82"/>
      <c r="N23" s="82"/>
      <c r="O23" s="10"/>
      <c r="P23" s="10">
        <f>+P14+P22</f>
        <v>470920</v>
      </c>
      <c r="Q23" s="10">
        <f>+Q14+Q22</f>
        <v>498500</v>
      </c>
      <c r="R23" s="10">
        <f>+R14+R22</f>
        <v>-27580</v>
      </c>
      <c r="S23" s="11">
        <f t="shared" si="3"/>
        <v>-5.5325977933801403E-2</v>
      </c>
      <c r="U23" s="10">
        <f>+U14+U22</f>
        <v>450525.95</v>
      </c>
      <c r="V23" s="10">
        <f>+V14+V22</f>
        <v>413178.07</v>
      </c>
      <c r="W23" s="11">
        <f t="shared" si="4"/>
        <v>9.039172868008219E-2</v>
      </c>
      <c r="X23" s="73"/>
      <c r="Y23" s="59"/>
    </row>
    <row r="24" spans="1:26" ht="6" customHeight="1">
      <c r="A24" s="43">
        <v>18</v>
      </c>
      <c r="S24" s="5"/>
      <c r="X24" s="73"/>
      <c r="Y24" s="59"/>
    </row>
    <row r="25" spans="1:26" ht="18.5">
      <c r="A25" s="43">
        <v>19</v>
      </c>
      <c r="B25" s="7" t="s">
        <v>12</v>
      </c>
      <c r="S25" s="5"/>
      <c r="X25" s="73"/>
      <c r="Y25" s="59"/>
    </row>
    <row r="26" spans="1:26" ht="18.5">
      <c r="B26" s="7" t="s">
        <v>92</v>
      </c>
      <c r="S26" s="39"/>
      <c r="W26" s="39"/>
      <c r="X26" s="73"/>
      <c r="Y26" s="59"/>
    </row>
    <row r="27" spans="1:26" ht="18.5">
      <c r="B27" s="7"/>
      <c r="C27" s="233" t="s">
        <v>336</v>
      </c>
      <c r="D27" s="245"/>
      <c r="E27" s="246"/>
      <c r="F27" s="247"/>
      <c r="G27" s="247"/>
      <c r="H27" s="247"/>
      <c r="I27" s="247"/>
      <c r="J27" s="247"/>
      <c r="K27" s="247"/>
      <c r="L27" s="247"/>
      <c r="M27" s="247"/>
      <c r="N27" s="247"/>
      <c r="O27" s="233"/>
      <c r="P27" s="258">
        <v>21000</v>
      </c>
      <c r="Q27" s="258">
        <v>28790</v>
      </c>
      <c r="R27" s="231">
        <f t="shared" ref="R27:R37" si="5">+P27-Q27</f>
        <v>-7790</v>
      </c>
      <c r="S27" s="232">
        <f t="shared" ref="S27:S37" si="6">IF(Q27=0,"NA",(+P27-Q27)/Q27)</f>
        <v>-0.27058006252170891</v>
      </c>
      <c r="T27" s="233"/>
      <c r="U27" s="230">
        <v>23991.7</v>
      </c>
      <c r="V27" s="230">
        <v>23991.7</v>
      </c>
      <c r="W27" s="232">
        <f t="shared" ref="W27:W37" si="7">IF(V27=0,"NA",(+U27-V27)/V27)</f>
        <v>0</v>
      </c>
      <c r="X27" s="234"/>
      <c r="Y27" s="59"/>
    </row>
    <row r="28" spans="1:26" ht="18.5">
      <c r="B28" s="7"/>
      <c r="C28" s="238" t="s">
        <v>492</v>
      </c>
      <c r="D28" s="248"/>
      <c r="E28" s="249"/>
      <c r="F28" s="250"/>
      <c r="G28" s="250"/>
      <c r="H28" s="250"/>
      <c r="I28" s="250"/>
      <c r="J28" s="250"/>
      <c r="K28" s="250"/>
      <c r="L28" s="250"/>
      <c r="M28" s="250"/>
      <c r="N28" s="250"/>
      <c r="O28" s="238"/>
      <c r="P28" s="256">
        <v>0</v>
      </c>
      <c r="Q28" s="256">
        <v>3000</v>
      </c>
      <c r="R28" s="231">
        <f t="shared" si="5"/>
        <v>-3000</v>
      </c>
      <c r="S28" s="232">
        <f t="shared" si="6"/>
        <v>-1</v>
      </c>
      <c r="T28" s="233"/>
      <c r="U28" s="230">
        <v>2250</v>
      </c>
      <c r="V28" s="230">
        <v>2250</v>
      </c>
      <c r="W28" s="232">
        <f t="shared" si="7"/>
        <v>0</v>
      </c>
      <c r="X28" s="234" t="s">
        <v>401</v>
      </c>
      <c r="Y28" s="59"/>
    </row>
    <row r="29" spans="1:26" ht="18.5">
      <c r="B29" s="7"/>
      <c r="C29" s="238" t="s">
        <v>491</v>
      </c>
      <c r="D29" s="248"/>
      <c r="E29" s="249"/>
      <c r="F29" s="250"/>
      <c r="G29" s="250"/>
      <c r="H29" s="250"/>
      <c r="I29" s="250"/>
      <c r="J29" s="250"/>
      <c r="K29" s="250"/>
      <c r="L29" s="250"/>
      <c r="M29" s="250"/>
      <c r="N29" s="250"/>
      <c r="O29" s="238"/>
      <c r="P29" s="256">
        <v>500</v>
      </c>
      <c r="Q29" s="256">
        <v>1000</v>
      </c>
      <c r="R29" s="231">
        <f t="shared" si="5"/>
        <v>-500</v>
      </c>
      <c r="S29" s="232">
        <f t="shared" si="6"/>
        <v>-0.5</v>
      </c>
      <c r="T29" s="233"/>
      <c r="U29" s="230">
        <v>750</v>
      </c>
      <c r="V29" s="230">
        <v>750</v>
      </c>
      <c r="W29" s="232">
        <f t="shared" si="7"/>
        <v>0</v>
      </c>
      <c r="X29" s="234"/>
      <c r="Y29" s="59"/>
    </row>
    <row r="30" spans="1:26" ht="18.5">
      <c r="B30" s="7"/>
      <c r="C30" s="238" t="s">
        <v>346</v>
      </c>
      <c r="D30" s="248"/>
      <c r="E30" s="249"/>
      <c r="F30" s="250"/>
      <c r="G30" s="250"/>
      <c r="H30" s="250"/>
      <c r="I30" s="250"/>
      <c r="J30" s="250"/>
      <c r="K30" s="250"/>
      <c r="L30" s="250"/>
      <c r="M30" s="250"/>
      <c r="N30" s="250"/>
      <c r="O30" s="238"/>
      <c r="P30" s="256">
        <v>1500</v>
      </c>
      <c r="Q30" s="256">
        <v>2000</v>
      </c>
      <c r="R30" s="231">
        <f t="shared" si="5"/>
        <v>-500</v>
      </c>
      <c r="S30" s="232">
        <f t="shared" si="6"/>
        <v>-0.25</v>
      </c>
      <c r="T30" s="233"/>
      <c r="U30" s="230">
        <v>1500</v>
      </c>
      <c r="V30" s="230">
        <v>1500</v>
      </c>
      <c r="W30" s="232">
        <f t="shared" si="7"/>
        <v>0</v>
      </c>
      <c r="X30" s="234"/>
      <c r="Y30" s="59"/>
    </row>
    <row r="31" spans="1:26" ht="18.5">
      <c r="B31" s="7"/>
      <c r="C31" s="238" t="s">
        <v>339</v>
      </c>
      <c r="D31" s="248"/>
      <c r="E31" s="249"/>
      <c r="F31" s="250"/>
      <c r="G31" s="250"/>
      <c r="H31" s="250"/>
      <c r="I31" s="250"/>
      <c r="J31" s="250"/>
      <c r="K31" s="250"/>
      <c r="L31" s="250"/>
      <c r="M31" s="250"/>
      <c r="N31" s="250"/>
      <c r="O31" s="238"/>
      <c r="P31" s="256">
        <v>750</v>
      </c>
      <c r="Q31" s="256">
        <v>750</v>
      </c>
      <c r="R31" s="231">
        <f t="shared" si="5"/>
        <v>0</v>
      </c>
      <c r="S31" s="232">
        <f t="shared" si="6"/>
        <v>0</v>
      </c>
      <c r="T31" s="233"/>
      <c r="U31" s="230">
        <v>562.5</v>
      </c>
      <c r="V31" s="230">
        <v>562.5</v>
      </c>
      <c r="W31" s="232">
        <f t="shared" si="7"/>
        <v>0</v>
      </c>
      <c r="X31" s="234"/>
      <c r="Y31" s="59"/>
    </row>
    <row r="32" spans="1:26" ht="18.5">
      <c r="B32" s="7"/>
      <c r="C32" s="238" t="s">
        <v>340</v>
      </c>
      <c r="D32" s="248"/>
      <c r="E32" s="249"/>
      <c r="F32" s="250"/>
      <c r="G32" s="250"/>
      <c r="H32" s="250"/>
      <c r="I32" s="250"/>
      <c r="J32" s="250"/>
      <c r="K32" s="250"/>
      <c r="L32" s="250"/>
      <c r="M32" s="250"/>
      <c r="N32" s="250"/>
      <c r="O32" s="238"/>
      <c r="P32" s="256">
        <v>1000</v>
      </c>
      <c r="Q32" s="256">
        <v>1000</v>
      </c>
      <c r="R32" s="231">
        <f t="shared" si="5"/>
        <v>0</v>
      </c>
      <c r="S32" s="232">
        <f t="shared" si="6"/>
        <v>0</v>
      </c>
      <c r="T32" s="233"/>
      <c r="U32" s="230">
        <v>750</v>
      </c>
      <c r="V32" s="230">
        <v>750</v>
      </c>
      <c r="W32" s="232">
        <f t="shared" si="7"/>
        <v>0</v>
      </c>
      <c r="X32" s="234"/>
      <c r="Y32" s="59"/>
    </row>
    <row r="33" spans="1:37" ht="18.5">
      <c r="B33" s="7"/>
      <c r="C33" s="238" t="s">
        <v>341</v>
      </c>
      <c r="D33" s="248"/>
      <c r="E33" s="249"/>
      <c r="F33" s="250"/>
      <c r="G33" s="250"/>
      <c r="H33" s="250"/>
      <c r="I33" s="250"/>
      <c r="J33" s="250"/>
      <c r="K33" s="250"/>
      <c r="L33" s="250"/>
      <c r="M33" s="250"/>
      <c r="N33" s="250"/>
      <c r="O33" s="238"/>
      <c r="P33" s="256">
        <v>1000</v>
      </c>
      <c r="Q33" s="256">
        <v>1500</v>
      </c>
      <c r="R33" s="231">
        <f t="shared" si="5"/>
        <v>-500</v>
      </c>
      <c r="S33" s="232">
        <f t="shared" si="6"/>
        <v>-0.33333333333333331</v>
      </c>
      <c r="T33" s="233"/>
      <c r="U33" s="230">
        <v>1125</v>
      </c>
      <c r="V33" s="230">
        <v>1125</v>
      </c>
      <c r="W33" s="232">
        <f t="shared" si="7"/>
        <v>0</v>
      </c>
      <c r="X33" s="234"/>
      <c r="Y33" s="59"/>
    </row>
    <row r="34" spans="1:37" ht="18.5">
      <c r="B34" s="7"/>
      <c r="C34" s="238" t="s">
        <v>490</v>
      </c>
      <c r="D34" s="248"/>
      <c r="E34" s="249"/>
      <c r="F34" s="250"/>
      <c r="G34" s="250"/>
      <c r="H34" s="250"/>
      <c r="I34" s="250"/>
      <c r="J34" s="250"/>
      <c r="K34" s="250"/>
      <c r="L34" s="250"/>
      <c r="M34" s="250"/>
      <c r="N34" s="250"/>
      <c r="O34" s="238"/>
      <c r="P34" s="256">
        <v>1000</v>
      </c>
      <c r="Q34" s="256">
        <v>1500</v>
      </c>
      <c r="R34" s="231">
        <f t="shared" si="5"/>
        <v>-500</v>
      </c>
      <c r="S34" s="232">
        <f t="shared" si="6"/>
        <v>-0.33333333333333331</v>
      </c>
      <c r="T34" s="233"/>
      <c r="U34" s="230">
        <v>1125</v>
      </c>
      <c r="V34" s="230">
        <v>1125</v>
      </c>
      <c r="W34" s="232">
        <f t="shared" si="7"/>
        <v>0</v>
      </c>
      <c r="X34" s="234"/>
      <c r="Y34" s="59"/>
    </row>
    <row r="35" spans="1:37" ht="18.5">
      <c r="B35" s="7"/>
      <c r="C35" s="238" t="s">
        <v>343</v>
      </c>
      <c r="D35" s="248"/>
      <c r="E35" s="249"/>
      <c r="F35" s="250"/>
      <c r="G35" s="250"/>
      <c r="H35" s="250"/>
      <c r="I35" s="250"/>
      <c r="J35" s="250"/>
      <c r="K35" s="250"/>
      <c r="L35" s="250"/>
      <c r="M35" s="250"/>
      <c r="N35" s="250"/>
      <c r="O35" s="238"/>
      <c r="P35" s="256">
        <v>1000</v>
      </c>
      <c r="Q35" s="256">
        <v>500</v>
      </c>
      <c r="R35" s="231">
        <f t="shared" si="5"/>
        <v>500</v>
      </c>
      <c r="S35" s="232">
        <f t="shared" si="6"/>
        <v>1</v>
      </c>
      <c r="T35" s="233"/>
      <c r="U35" s="230">
        <v>375</v>
      </c>
      <c r="V35" s="230">
        <v>375</v>
      </c>
      <c r="W35" s="232">
        <f t="shared" si="7"/>
        <v>0</v>
      </c>
      <c r="X35" s="234"/>
      <c r="Y35" s="59"/>
    </row>
    <row r="36" spans="1:37" ht="19.5" hidden="1" customHeight="1">
      <c r="B36" s="7"/>
      <c r="C36" s="238" t="s">
        <v>384</v>
      </c>
      <c r="D36" s="248"/>
      <c r="E36" s="249"/>
      <c r="F36" s="250"/>
      <c r="G36" s="250"/>
      <c r="H36" s="250"/>
      <c r="I36" s="250"/>
      <c r="J36" s="250"/>
      <c r="K36" s="250"/>
      <c r="L36" s="250"/>
      <c r="M36" s="250"/>
      <c r="N36" s="250"/>
      <c r="O36" s="238"/>
      <c r="P36" s="256">
        <v>0</v>
      </c>
      <c r="Q36" s="256">
        <v>0</v>
      </c>
      <c r="R36" s="231">
        <f t="shared" si="5"/>
        <v>0</v>
      </c>
      <c r="S36" s="232" t="str">
        <f t="shared" si="6"/>
        <v>NA</v>
      </c>
      <c r="T36" s="233"/>
      <c r="U36" s="230">
        <v>0</v>
      </c>
      <c r="V36" s="230">
        <v>0</v>
      </c>
      <c r="W36" s="232" t="str">
        <f t="shared" si="7"/>
        <v>NA</v>
      </c>
      <c r="X36" s="234" t="s">
        <v>383</v>
      </c>
      <c r="Y36" s="59"/>
    </row>
    <row r="37" spans="1:37" ht="18.5" hidden="1">
      <c r="B37" s="7"/>
      <c r="C37" s="238" t="s">
        <v>344</v>
      </c>
      <c r="D37" s="248"/>
      <c r="E37" s="249"/>
      <c r="F37" s="250"/>
      <c r="G37" s="250"/>
      <c r="H37" s="250"/>
      <c r="I37" s="250"/>
      <c r="J37" s="250"/>
      <c r="K37" s="250"/>
      <c r="L37" s="250"/>
      <c r="M37" s="250"/>
      <c r="N37" s="250"/>
      <c r="O37" s="238"/>
      <c r="P37" s="256">
        <v>0</v>
      </c>
      <c r="Q37" s="256">
        <v>0</v>
      </c>
      <c r="R37" s="231">
        <f t="shared" si="5"/>
        <v>0</v>
      </c>
      <c r="S37" s="232" t="str">
        <f t="shared" si="6"/>
        <v>NA</v>
      </c>
      <c r="T37" s="233"/>
      <c r="U37" s="230"/>
      <c r="V37" s="230"/>
      <c r="W37" s="232" t="str">
        <f t="shared" si="7"/>
        <v>NA</v>
      </c>
      <c r="X37" s="234"/>
      <c r="Y37" s="59"/>
      <c r="Z37" s="1">
        <v>500500</v>
      </c>
    </row>
    <row r="38" spans="1:37" hidden="1">
      <c r="A38" s="43">
        <v>21</v>
      </c>
      <c r="C38" s="1" t="s">
        <v>13</v>
      </c>
      <c r="P38" s="1">
        <f>+P23</f>
        <v>470920</v>
      </c>
      <c r="Q38" s="1">
        <f>+Q23</f>
        <v>498500</v>
      </c>
      <c r="R38" s="38">
        <f>+P38-Q38</f>
        <v>-27580</v>
      </c>
      <c r="S38" s="5"/>
      <c r="X38" s="73"/>
      <c r="Y38" s="59"/>
      <c r="Z38" s="1">
        <v>0</v>
      </c>
    </row>
    <row r="39" spans="1:37" hidden="1">
      <c r="A39" s="43">
        <v>23</v>
      </c>
      <c r="C39" s="1" t="s">
        <v>14</v>
      </c>
      <c r="P39" s="38">
        <f>-P198</f>
        <v>0</v>
      </c>
      <c r="Q39" s="38">
        <f>-Q198</f>
        <v>0</v>
      </c>
      <c r="R39" s="38">
        <f>+P39-Q39</f>
        <v>0</v>
      </c>
      <c r="S39" s="5"/>
      <c r="U39" s="38"/>
      <c r="V39" s="38"/>
      <c r="X39" s="73"/>
      <c r="Y39" s="59"/>
      <c r="Z39" s="1">
        <v>0</v>
      </c>
    </row>
    <row r="40" spans="1:37" hidden="1">
      <c r="A40" s="43">
        <v>24</v>
      </c>
      <c r="C40" s="1" t="s">
        <v>15</v>
      </c>
      <c r="P40" s="38">
        <f>-P188</f>
        <v>0</v>
      </c>
      <c r="Q40" s="38">
        <f>-Q188</f>
        <v>0</v>
      </c>
      <c r="R40" s="38">
        <f>+P40-Q40</f>
        <v>0</v>
      </c>
      <c r="S40" s="5"/>
      <c r="U40" s="38"/>
      <c r="V40" s="38"/>
      <c r="X40" s="73"/>
      <c r="Y40" s="59"/>
      <c r="Z40" s="1">
        <v>500500</v>
      </c>
    </row>
    <row r="41" spans="1:37" hidden="1">
      <c r="A41" s="43">
        <v>25</v>
      </c>
      <c r="C41" s="1" t="s">
        <v>111</v>
      </c>
      <c r="P41" s="1">
        <f>SUM(P38:P40)</f>
        <v>470920</v>
      </c>
      <c r="Q41" s="1">
        <f>SUM(Q38:Q40)</f>
        <v>498500</v>
      </c>
      <c r="R41" s="38">
        <f>+P41-Q41</f>
        <v>-27580</v>
      </c>
      <c r="S41" s="5"/>
      <c r="X41" s="73"/>
      <c r="Y41" s="59"/>
      <c r="Z41" s="1">
        <v>40040</v>
      </c>
    </row>
    <row r="42" spans="1:37" s="2" customFormat="1" ht="29">
      <c r="A42" s="43">
        <v>26</v>
      </c>
      <c r="B42" s="548">
        <v>0.08</v>
      </c>
      <c r="C42" s="13" t="str">
        <f>ROUND((P42/P23),3)*100&amp;"% Benevolence"</f>
        <v>5.9% Benevolence</v>
      </c>
      <c r="D42" s="13"/>
      <c r="E42" s="83"/>
      <c r="F42" s="84"/>
      <c r="G42" s="84"/>
      <c r="H42" s="84"/>
      <c r="I42" s="84"/>
      <c r="J42" s="84"/>
      <c r="K42" s="84"/>
      <c r="L42" s="84"/>
      <c r="M42" s="84"/>
      <c r="N42" s="84"/>
      <c r="O42" s="12"/>
      <c r="P42" s="12">
        <f>SUM(P27:P37)</f>
        <v>27750</v>
      </c>
      <c r="Q42" s="12">
        <f>SUM(Q27:Q37)</f>
        <v>40040</v>
      </c>
      <c r="R42" s="12">
        <f t="shared" ref="R42" si="8">+P42-Q42</f>
        <v>-12290</v>
      </c>
      <c r="S42" s="14">
        <f>IF(Q42=0,"NA",(+P42-Q42)/Q42)</f>
        <v>-0.30694305694305696</v>
      </c>
      <c r="T42" s="1"/>
      <c r="U42" s="567">
        <f>SUM(U27:U37)</f>
        <v>32429.200000000001</v>
      </c>
      <c r="V42" s="567">
        <f>SUM(V27:V37)</f>
        <v>32429.200000000001</v>
      </c>
      <c r="W42" s="14">
        <f>IF(V42=0,"NA",(+U42-V42)/V42)</f>
        <v>0</v>
      </c>
      <c r="X42" s="64" t="s">
        <v>608</v>
      </c>
      <c r="Y42" s="60"/>
      <c r="Z42" s="2" t="s">
        <v>381</v>
      </c>
      <c r="AF42" s="1">
        <f>+$P42</f>
        <v>27750</v>
      </c>
      <c r="AG42" s="1"/>
      <c r="AJ42" s="1">
        <f>+$U42</f>
        <v>32429.200000000001</v>
      </c>
      <c r="AK42" s="1"/>
    </row>
    <row r="43" spans="1:37" s="2" customFormat="1" ht="6.75" customHeight="1">
      <c r="A43" s="43">
        <v>27</v>
      </c>
      <c r="B43" s="15"/>
      <c r="C43" s="16"/>
      <c r="D43" s="15"/>
      <c r="E43" s="80"/>
      <c r="F43" s="80"/>
      <c r="G43" s="80"/>
      <c r="H43" s="80"/>
      <c r="I43" s="80"/>
      <c r="J43" s="80"/>
      <c r="K43" s="80"/>
      <c r="L43" s="80"/>
      <c r="M43" s="80"/>
      <c r="N43" s="80"/>
      <c r="O43" s="15"/>
      <c r="P43" s="1" t="str">
        <f>IF(SUM(P$27:P$37)-P$42=0,"","ERROR")</f>
        <v/>
      </c>
      <c r="Q43" s="807"/>
      <c r="R43" s="15"/>
      <c r="S43" s="18"/>
      <c r="T43" s="1"/>
      <c r="U43" s="1"/>
      <c r="V43" s="1"/>
      <c r="W43" s="18"/>
      <c r="X43" s="74"/>
      <c r="Y43" s="61"/>
    </row>
    <row r="44" spans="1:37" s="2" customFormat="1" ht="18.5">
      <c r="A44" s="43">
        <v>28</v>
      </c>
      <c r="B44" s="19" t="s">
        <v>62</v>
      </c>
      <c r="C44" s="16"/>
      <c r="D44" s="15"/>
      <c r="E44" s="80"/>
      <c r="F44" s="80"/>
      <c r="G44" s="80"/>
      <c r="H44" s="80"/>
      <c r="I44" s="80"/>
      <c r="J44" s="80"/>
      <c r="K44" s="80"/>
      <c r="L44" s="80"/>
      <c r="M44" s="80"/>
      <c r="N44" s="80"/>
      <c r="O44" s="15"/>
      <c r="P44" s="566"/>
      <c r="Q44" s="1042">
        <f>+Q42/Q23</f>
        <v>8.0320962888665998E-2</v>
      </c>
      <c r="R44" s="15"/>
      <c r="S44" s="18"/>
      <c r="T44" s="1"/>
      <c r="U44" s="15"/>
      <c r="V44" s="15"/>
      <c r="W44" s="18"/>
      <c r="X44" s="74"/>
      <c r="Y44" s="61"/>
    </row>
    <row r="45" spans="1:37">
      <c r="A45" s="43">
        <v>29</v>
      </c>
      <c r="B45" s="2" t="s">
        <v>16</v>
      </c>
      <c r="S45" s="5"/>
      <c r="X45" s="73"/>
      <c r="Y45" s="59"/>
    </row>
    <row r="46" spans="1:37" ht="19.5" customHeight="1">
      <c r="A46" s="43">
        <v>30</v>
      </c>
      <c r="C46" s="398" t="s">
        <v>84</v>
      </c>
      <c r="D46" s="399"/>
      <c r="E46" s="400"/>
      <c r="F46" s="401"/>
      <c r="G46" s="401"/>
      <c r="H46" s="401"/>
      <c r="I46" s="401"/>
      <c r="J46" s="401"/>
      <c r="K46" s="401"/>
      <c r="L46" s="401"/>
      <c r="M46" s="401"/>
      <c r="N46" s="401"/>
      <c r="O46" s="398"/>
      <c r="P46" s="402">
        <v>1500</v>
      </c>
      <c r="Q46" s="402">
        <v>2300</v>
      </c>
      <c r="R46" s="403">
        <f t="shared" ref="R46:R58" si="9">+P46-Q46</f>
        <v>-800</v>
      </c>
      <c r="S46" s="404">
        <f t="shared" ref="S46:S60" si="10">IF(Q46=0,"NA",(+P46-Q46)/Q46)</f>
        <v>-0.34782608695652173</v>
      </c>
      <c r="T46" s="398"/>
      <c r="U46" s="402">
        <v>770.1</v>
      </c>
      <c r="V46" s="402">
        <v>1788.88</v>
      </c>
      <c r="W46" s="404">
        <f t="shared" ref="W46:W60" si="11">IF(V46=0,"NA",(+U46-V46)/V46)</f>
        <v>-0.56950717767541703</v>
      </c>
      <c r="X46" s="797" t="s">
        <v>494</v>
      </c>
      <c r="Y46" s="58" t="s">
        <v>124</v>
      </c>
      <c r="AE46" s="1">
        <f>+$P46</f>
        <v>1500</v>
      </c>
      <c r="AI46" s="1">
        <f>+$U46</f>
        <v>770.1</v>
      </c>
    </row>
    <row r="47" spans="1:37" ht="29">
      <c r="C47" s="233"/>
      <c r="D47" s="245"/>
      <c r="E47" s="246"/>
      <c r="F47" s="247"/>
      <c r="G47" s="247"/>
      <c r="H47" s="247"/>
      <c r="I47" s="247"/>
      <c r="J47" s="247"/>
      <c r="K47" s="247"/>
      <c r="L47" s="247"/>
      <c r="M47" s="247"/>
      <c r="N47" s="247"/>
      <c r="O47" s="233"/>
      <c r="P47" s="230"/>
      <c r="Q47" s="230"/>
      <c r="R47" s="231"/>
      <c r="S47" s="232"/>
      <c r="T47" s="233"/>
      <c r="U47" s="230"/>
      <c r="V47" s="230"/>
      <c r="W47" s="232"/>
      <c r="X47" s="405" t="s">
        <v>286</v>
      </c>
      <c r="Y47" s="58"/>
    </row>
    <row r="48" spans="1:37" ht="14" customHeight="1">
      <c r="A48" s="43">
        <v>31</v>
      </c>
      <c r="C48" s="243" t="s">
        <v>17</v>
      </c>
      <c r="D48" s="251"/>
      <c r="E48" s="252"/>
      <c r="F48" s="253"/>
      <c r="G48" s="253"/>
      <c r="H48" s="253"/>
      <c r="I48" s="253"/>
      <c r="J48" s="253"/>
      <c r="K48" s="253"/>
      <c r="L48" s="253"/>
      <c r="M48" s="253"/>
      <c r="N48" s="253"/>
      <c r="O48" s="243"/>
      <c r="P48" s="240">
        <v>1000</v>
      </c>
      <c r="Q48" s="240">
        <v>1000</v>
      </c>
      <c r="R48" s="241">
        <f t="shared" si="9"/>
        <v>0</v>
      </c>
      <c r="S48" s="242">
        <f t="shared" si="10"/>
        <v>0</v>
      </c>
      <c r="T48" s="243"/>
      <c r="U48" s="240">
        <v>256.57</v>
      </c>
      <c r="V48" s="240">
        <v>1000</v>
      </c>
      <c r="W48" s="242">
        <f t="shared" si="11"/>
        <v>-0.74343000000000004</v>
      </c>
      <c r="X48" s="644" t="s">
        <v>495</v>
      </c>
      <c r="Y48" s="62" t="s">
        <v>125</v>
      </c>
      <c r="AE48" s="1">
        <f t="shared" ref="AE48:AE58" si="12">+$P48</f>
        <v>1000</v>
      </c>
      <c r="AI48" s="1">
        <f t="shared" ref="AI48:AI58" si="13">+$U48</f>
        <v>256.57</v>
      </c>
    </row>
    <row r="49" spans="1:35" ht="43.5">
      <c r="C49" s="233"/>
      <c r="D49" s="245"/>
      <c r="E49" s="246"/>
      <c r="F49" s="247"/>
      <c r="G49" s="247"/>
      <c r="H49" s="247"/>
      <c r="I49" s="247"/>
      <c r="J49" s="247"/>
      <c r="K49" s="247"/>
      <c r="L49" s="247"/>
      <c r="M49" s="247"/>
      <c r="N49" s="247"/>
      <c r="O49" s="233"/>
      <c r="P49" s="230"/>
      <c r="Q49" s="230"/>
      <c r="R49" s="231"/>
      <c r="S49" s="232"/>
      <c r="T49" s="233"/>
      <c r="U49" s="230"/>
      <c r="V49" s="230"/>
      <c r="W49" s="232"/>
      <c r="X49" s="405" t="s">
        <v>550</v>
      </c>
      <c r="Y49" s="62"/>
    </row>
    <row r="50" spans="1:35" ht="14" customHeight="1">
      <c r="A50" s="43">
        <v>32</v>
      </c>
      <c r="C50" s="243" t="s">
        <v>298</v>
      </c>
      <c r="D50" s="251"/>
      <c r="E50" s="252"/>
      <c r="F50" s="253"/>
      <c r="G50" s="253"/>
      <c r="H50" s="253"/>
      <c r="I50" s="253"/>
      <c r="J50" s="253"/>
      <c r="K50" s="253"/>
      <c r="L50" s="253"/>
      <c r="M50" s="253"/>
      <c r="N50" s="253"/>
      <c r="O50" s="243"/>
      <c r="P50" s="240">
        <v>250</v>
      </c>
      <c r="Q50" s="240">
        <v>250</v>
      </c>
      <c r="R50" s="241">
        <f t="shared" si="9"/>
        <v>0</v>
      </c>
      <c r="S50" s="242">
        <f t="shared" si="10"/>
        <v>0</v>
      </c>
      <c r="T50" s="243"/>
      <c r="U50" s="240">
        <v>0</v>
      </c>
      <c r="V50" s="240">
        <v>250</v>
      </c>
      <c r="W50" s="242">
        <f t="shared" si="11"/>
        <v>-1</v>
      </c>
      <c r="X50" s="798" t="s">
        <v>496</v>
      </c>
      <c r="Y50" s="62" t="s">
        <v>126</v>
      </c>
      <c r="AE50" s="1">
        <f t="shared" si="12"/>
        <v>250</v>
      </c>
      <c r="AI50" s="1">
        <f t="shared" si="13"/>
        <v>0</v>
      </c>
    </row>
    <row r="51" spans="1:35" ht="29">
      <c r="C51" s="233"/>
      <c r="D51" s="245"/>
      <c r="E51" s="246"/>
      <c r="F51" s="247"/>
      <c r="G51" s="247"/>
      <c r="H51" s="247"/>
      <c r="I51" s="247"/>
      <c r="J51" s="247"/>
      <c r="K51" s="247"/>
      <c r="L51" s="247"/>
      <c r="M51" s="247"/>
      <c r="N51" s="247"/>
      <c r="O51" s="233"/>
      <c r="P51" s="230"/>
      <c r="Q51" s="230"/>
      <c r="R51" s="231"/>
      <c r="S51" s="232"/>
      <c r="T51" s="233"/>
      <c r="U51" s="230"/>
      <c r="V51" s="230"/>
      <c r="W51" s="232"/>
      <c r="X51" s="405" t="s">
        <v>299</v>
      </c>
      <c r="Y51" s="62"/>
    </row>
    <row r="52" spans="1:35" ht="14" customHeight="1">
      <c r="A52" s="43">
        <v>33</v>
      </c>
      <c r="C52" s="243" t="s">
        <v>18</v>
      </c>
      <c r="D52" s="251"/>
      <c r="E52" s="252"/>
      <c r="F52" s="253"/>
      <c r="G52" s="253"/>
      <c r="H52" s="253"/>
      <c r="I52" s="253"/>
      <c r="J52" s="253"/>
      <c r="K52" s="253"/>
      <c r="L52" s="253"/>
      <c r="M52" s="253"/>
      <c r="N52" s="253"/>
      <c r="O52" s="243"/>
      <c r="P52" s="240">
        <v>300</v>
      </c>
      <c r="Q52" s="240">
        <v>300</v>
      </c>
      <c r="R52" s="241">
        <f t="shared" si="9"/>
        <v>0</v>
      </c>
      <c r="S52" s="242">
        <f t="shared" si="10"/>
        <v>0</v>
      </c>
      <c r="T52" s="243"/>
      <c r="U52" s="240">
        <v>-85</v>
      </c>
      <c r="V52" s="240">
        <v>0</v>
      </c>
      <c r="W52" s="242" t="str">
        <f t="shared" si="11"/>
        <v>NA</v>
      </c>
      <c r="X52" s="798" t="s">
        <v>496</v>
      </c>
      <c r="Y52" s="58" t="s">
        <v>127</v>
      </c>
      <c r="AE52" s="1">
        <f t="shared" si="12"/>
        <v>300</v>
      </c>
      <c r="AI52" s="1">
        <f t="shared" si="13"/>
        <v>-85</v>
      </c>
    </row>
    <row r="53" spans="1:35">
      <c r="C53" s="233"/>
      <c r="D53" s="245"/>
      <c r="E53" s="246"/>
      <c r="F53" s="247"/>
      <c r="G53" s="247"/>
      <c r="H53" s="247"/>
      <c r="I53" s="247"/>
      <c r="J53" s="247"/>
      <c r="K53" s="247"/>
      <c r="L53" s="247"/>
      <c r="M53" s="247"/>
      <c r="N53" s="247"/>
      <c r="O53" s="233"/>
      <c r="P53" s="230"/>
      <c r="Q53" s="230"/>
      <c r="R53" s="231"/>
      <c r="S53" s="232"/>
      <c r="T53" s="233"/>
      <c r="U53" s="230"/>
      <c r="V53" s="230"/>
      <c r="W53" s="232"/>
      <c r="X53" s="234" t="s">
        <v>539</v>
      </c>
      <c r="Y53" s="58"/>
    </row>
    <row r="54" spans="1:35" ht="14.5" customHeight="1">
      <c r="A54" s="43">
        <v>34</v>
      </c>
      <c r="C54" s="243" t="s">
        <v>285</v>
      </c>
      <c r="D54" s="251"/>
      <c r="E54" s="252"/>
      <c r="F54" s="253"/>
      <c r="G54" s="253"/>
      <c r="H54" s="253"/>
      <c r="I54" s="253"/>
      <c r="J54" s="253"/>
      <c r="K54" s="253"/>
      <c r="L54" s="253"/>
      <c r="M54" s="253"/>
      <c r="N54" s="253"/>
      <c r="O54" s="243"/>
      <c r="P54" s="240">
        <v>200</v>
      </c>
      <c r="Q54" s="240">
        <v>200</v>
      </c>
      <c r="R54" s="241">
        <f t="shared" si="9"/>
        <v>0</v>
      </c>
      <c r="S54" s="242">
        <f t="shared" si="10"/>
        <v>0</v>
      </c>
      <c r="T54" s="243"/>
      <c r="U54" s="240">
        <v>68.8</v>
      </c>
      <c r="V54" s="240">
        <v>200</v>
      </c>
      <c r="W54" s="242">
        <f t="shared" si="11"/>
        <v>-0.65599999999999992</v>
      </c>
      <c r="X54" s="798" t="s">
        <v>496</v>
      </c>
      <c r="Y54" s="62" t="s">
        <v>128</v>
      </c>
      <c r="AE54" s="1">
        <f t="shared" si="12"/>
        <v>200</v>
      </c>
      <c r="AI54" s="1">
        <f t="shared" si="13"/>
        <v>68.8</v>
      </c>
    </row>
    <row r="55" spans="1:35" ht="14.5" customHeight="1">
      <c r="C55" s="233"/>
      <c r="D55" s="245"/>
      <c r="E55" s="246"/>
      <c r="F55" s="247"/>
      <c r="G55" s="247"/>
      <c r="H55" s="247"/>
      <c r="I55" s="247"/>
      <c r="J55" s="247"/>
      <c r="K55" s="247"/>
      <c r="L55" s="247"/>
      <c r="M55" s="247"/>
      <c r="N55" s="247"/>
      <c r="O55" s="233"/>
      <c r="P55" s="230"/>
      <c r="Q55" s="230"/>
      <c r="R55" s="231"/>
      <c r="S55" s="232"/>
      <c r="T55" s="233"/>
      <c r="U55" s="230"/>
      <c r="V55" s="230"/>
      <c r="W55" s="232"/>
      <c r="X55" s="234" t="s">
        <v>482</v>
      </c>
      <c r="Y55" s="62"/>
    </row>
    <row r="56" spans="1:35">
      <c r="C56" s="243" t="s">
        <v>108</v>
      </c>
      <c r="D56" s="251"/>
      <c r="E56" s="252"/>
      <c r="F56" s="253"/>
      <c r="G56" s="253"/>
      <c r="H56" s="253"/>
      <c r="I56" s="253"/>
      <c r="J56" s="253"/>
      <c r="K56" s="253"/>
      <c r="L56" s="253"/>
      <c r="M56" s="253"/>
      <c r="N56" s="253"/>
      <c r="O56" s="243"/>
      <c r="P56" s="240">
        <v>550</v>
      </c>
      <c r="Q56" s="240">
        <v>550</v>
      </c>
      <c r="R56" s="241">
        <f t="shared" si="9"/>
        <v>0</v>
      </c>
      <c r="S56" s="242">
        <f>IF(Q56=0,"NA",(+P56-Q56)/Q56)</f>
        <v>0</v>
      </c>
      <c r="T56" s="243"/>
      <c r="U56" s="240">
        <v>176.2</v>
      </c>
      <c r="V56" s="240">
        <v>458.3</v>
      </c>
      <c r="W56" s="242">
        <f>IF(V56=0,"NA",(+U56-V56)/V56)</f>
        <v>-0.61553567532184161</v>
      </c>
      <c r="X56" s="798" t="s">
        <v>497</v>
      </c>
      <c r="Y56" s="62" t="s">
        <v>129</v>
      </c>
      <c r="AE56" s="1">
        <f t="shared" si="12"/>
        <v>550</v>
      </c>
      <c r="AI56" s="1">
        <f t="shared" si="13"/>
        <v>176.2</v>
      </c>
    </row>
    <row r="57" spans="1:35" ht="29">
      <c r="C57" s="233"/>
      <c r="D57" s="245"/>
      <c r="E57" s="246"/>
      <c r="F57" s="247"/>
      <c r="G57" s="247"/>
      <c r="H57" s="247"/>
      <c r="I57" s="247"/>
      <c r="J57" s="247"/>
      <c r="K57" s="247"/>
      <c r="L57" s="247"/>
      <c r="M57" s="247"/>
      <c r="N57" s="247"/>
      <c r="O57" s="233"/>
      <c r="P57" s="230"/>
      <c r="Q57" s="230"/>
      <c r="R57" s="231"/>
      <c r="S57" s="232"/>
      <c r="T57" s="233"/>
      <c r="U57" s="230"/>
      <c r="V57" s="230"/>
      <c r="W57" s="232"/>
      <c r="X57" s="234" t="s">
        <v>385</v>
      </c>
      <c r="Y57" s="62"/>
    </row>
    <row r="58" spans="1:35" ht="14.5" customHeight="1">
      <c r="A58" s="43">
        <v>35</v>
      </c>
      <c r="C58" s="243" t="s">
        <v>88</v>
      </c>
      <c r="D58" s="251"/>
      <c r="E58" s="252"/>
      <c r="F58" s="253"/>
      <c r="G58" s="253"/>
      <c r="H58" s="253"/>
      <c r="I58" s="253"/>
      <c r="J58" s="253"/>
      <c r="K58" s="253"/>
      <c r="L58" s="253"/>
      <c r="M58" s="253"/>
      <c r="N58" s="253"/>
      <c r="O58" s="243"/>
      <c r="P58" s="240">
        <v>250</v>
      </c>
      <c r="Q58" s="240">
        <v>250</v>
      </c>
      <c r="R58" s="241">
        <f t="shared" si="9"/>
        <v>0</v>
      </c>
      <c r="S58" s="242">
        <f t="shared" si="10"/>
        <v>0</v>
      </c>
      <c r="T58" s="243"/>
      <c r="U58" s="240">
        <v>0</v>
      </c>
      <c r="V58" s="240">
        <v>208.3</v>
      </c>
      <c r="W58" s="242">
        <f t="shared" si="11"/>
        <v>-1</v>
      </c>
      <c r="X58" s="798" t="s">
        <v>496</v>
      </c>
      <c r="Y58" s="62" t="s">
        <v>130</v>
      </c>
      <c r="AE58" s="1">
        <f t="shared" si="12"/>
        <v>250</v>
      </c>
      <c r="AI58" s="1">
        <f t="shared" si="13"/>
        <v>0</v>
      </c>
    </row>
    <row r="59" spans="1:35" ht="14.5" customHeight="1">
      <c r="C59" s="398"/>
      <c r="D59" s="399"/>
      <c r="E59" s="400"/>
      <c r="F59" s="401"/>
      <c r="G59" s="401"/>
      <c r="H59" s="401"/>
      <c r="I59" s="401"/>
      <c r="J59" s="401"/>
      <c r="K59" s="401"/>
      <c r="L59" s="401"/>
      <c r="M59" s="401"/>
      <c r="N59" s="401"/>
      <c r="O59" s="398"/>
      <c r="P59" s="402"/>
      <c r="Q59" s="402"/>
      <c r="R59" s="403"/>
      <c r="S59" s="404"/>
      <c r="T59" s="398"/>
      <c r="U59" s="402"/>
      <c r="V59" s="402"/>
      <c r="W59" s="404"/>
      <c r="X59" s="234" t="s">
        <v>300</v>
      </c>
      <c r="Y59" s="62"/>
    </row>
    <row r="60" spans="1:35" s="2" customFormat="1">
      <c r="A60" s="43">
        <v>36</v>
      </c>
      <c r="B60" s="20" t="s">
        <v>20</v>
      </c>
      <c r="C60" s="20"/>
      <c r="D60" s="37"/>
      <c r="E60" s="85"/>
      <c r="F60" s="85"/>
      <c r="G60" s="85"/>
      <c r="H60" s="85"/>
      <c r="I60" s="85"/>
      <c r="J60" s="85"/>
      <c r="K60" s="85"/>
      <c r="L60" s="85"/>
      <c r="M60" s="85"/>
      <c r="N60" s="85"/>
      <c r="O60" s="37"/>
      <c r="P60" s="20">
        <f>SUM(P46:P58)</f>
        <v>4050</v>
      </c>
      <c r="Q60" s="37">
        <f>SUM(Q46:Q58)</f>
        <v>4850</v>
      </c>
      <c r="R60" s="37">
        <f>SUM(R46:R58)</f>
        <v>-800</v>
      </c>
      <c r="S60" s="21">
        <f t="shared" si="10"/>
        <v>-0.16494845360824742</v>
      </c>
      <c r="U60" s="37">
        <f>SUM(U46:U58)</f>
        <v>1186.67</v>
      </c>
      <c r="V60" s="37">
        <f>SUM(V46:V58)</f>
        <v>3905.4800000000005</v>
      </c>
      <c r="W60" s="21">
        <f t="shared" si="11"/>
        <v>-0.69615258559767301</v>
      </c>
      <c r="X60" s="240"/>
      <c r="Y60" s="61"/>
    </row>
    <row r="61" spans="1:35" ht="6" customHeight="1">
      <c r="A61" s="43">
        <v>37</v>
      </c>
      <c r="S61" s="5"/>
      <c r="X61" s="73"/>
      <c r="Y61" s="59"/>
    </row>
    <row r="62" spans="1:35">
      <c r="A62" s="43">
        <v>40</v>
      </c>
      <c r="B62" s="2" t="s">
        <v>150</v>
      </c>
      <c r="S62" s="5"/>
      <c r="X62" s="73"/>
      <c r="Y62" s="59"/>
    </row>
    <row r="63" spans="1:35" ht="14" customHeight="1">
      <c r="A63" s="43">
        <v>41</v>
      </c>
      <c r="C63" s="398" t="s">
        <v>21</v>
      </c>
      <c r="D63" s="399"/>
      <c r="E63" s="400"/>
      <c r="F63" s="401"/>
      <c r="G63" s="401"/>
      <c r="H63" s="401"/>
      <c r="I63" s="401"/>
      <c r="J63" s="401"/>
      <c r="K63" s="401"/>
      <c r="L63" s="401"/>
      <c r="M63" s="401"/>
      <c r="N63" s="401"/>
      <c r="O63" s="398"/>
      <c r="P63" s="406">
        <v>3500</v>
      </c>
      <c r="Q63" s="406">
        <v>3500</v>
      </c>
      <c r="R63" s="403">
        <f>+P63-Q63</f>
        <v>0</v>
      </c>
      <c r="S63" s="404">
        <f>IF(Q63=0,"NA",(+P63-Q63)/Q63)</f>
        <v>0</v>
      </c>
      <c r="T63" s="398"/>
      <c r="U63" s="402">
        <v>2038.25</v>
      </c>
      <c r="V63" s="402">
        <v>2916.7</v>
      </c>
      <c r="W63" s="404">
        <f>IF(V63=0,"NA",(+U63-V63)/V63)</f>
        <v>-0.30117941509239893</v>
      </c>
      <c r="X63" s="547"/>
      <c r="Y63" s="62" t="s">
        <v>143</v>
      </c>
      <c r="AD63" s="1">
        <f>+$P63</f>
        <v>3500</v>
      </c>
      <c r="AH63" s="1">
        <f>+$U63</f>
        <v>2038.25</v>
      </c>
    </row>
    <row r="64" spans="1:35">
      <c r="A64" s="43">
        <v>43</v>
      </c>
      <c r="C64" s="238" t="s">
        <v>22</v>
      </c>
      <c r="D64" s="248"/>
      <c r="E64" s="249"/>
      <c r="F64" s="250"/>
      <c r="G64" s="250"/>
      <c r="H64" s="250"/>
      <c r="I64" s="250"/>
      <c r="J64" s="250"/>
      <c r="K64" s="250"/>
      <c r="L64" s="250"/>
      <c r="M64" s="250"/>
      <c r="N64" s="250"/>
      <c r="O64" s="238"/>
      <c r="P64" s="235">
        <v>100</v>
      </c>
      <c r="Q64" s="235">
        <v>100</v>
      </c>
      <c r="R64" s="236">
        <f>+P64-Q64</f>
        <v>0</v>
      </c>
      <c r="S64" s="237">
        <f>IF(Q64=0,"NA",(+P64-Q64)/Q64)</f>
        <v>0</v>
      </c>
      <c r="T64" s="238"/>
      <c r="U64" s="235">
        <v>0</v>
      </c>
      <c r="V64" s="235">
        <v>83.3</v>
      </c>
      <c r="W64" s="237">
        <f>IF(V64=0,"NA",(+U64-V64)/V64)</f>
        <v>-1</v>
      </c>
      <c r="X64" s="645"/>
      <c r="Y64" s="58" t="s">
        <v>142</v>
      </c>
      <c r="AD64" s="1">
        <f>+$P64</f>
        <v>100</v>
      </c>
      <c r="AH64" s="1">
        <f>+$U64</f>
        <v>0</v>
      </c>
    </row>
    <row r="65" spans="1:36">
      <c r="A65" s="43">
        <v>44</v>
      </c>
      <c r="C65" s="238" t="s">
        <v>23</v>
      </c>
      <c r="D65" s="248"/>
      <c r="E65" s="249"/>
      <c r="F65" s="250"/>
      <c r="G65" s="250"/>
      <c r="H65" s="250"/>
      <c r="I65" s="250"/>
      <c r="J65" s="250"/>
      <c r="K65" s="250"/>
      <c r="L65" s="250"/>
      <c r="M65" s="250"/>
      <c r="N65" s="250"/>
      <c r="O65" s="238"/>
      <c r="P65" s="235">
        <v>200</v>
      </c>
      <c r="Q65" s="235">
        <v>200</v>
      </c>
      <c r="R65" s="236">
        <f>+P65-Q65</f>
        <v>0</v>
      </c>
      <c r="S65" s="237">
        <f>IF(Q65=0,"NA",(+P65-Q65)/Q65)</f>
        <v>0</v>
      </c>
      <c r="T65" s="238"/>
      <c r="U65" s="235">
        <v>3</v>
      </c>
      <c r="V65" s="235">
        <v>166.7</v>
      </c>
      <c r="W65" s="237">
        <f>IF(V65=0,"NA",(+U65-V65)/V65)</f>
        <v>-0.98200359928014402</v>
      </c>
      <c r="X65" s="645"/>
      <c r="Y65" s="59"/>
      <c r="AD65" s="1">
        <f>+$P65</f>
        <v>200</v>
      </c>
      <c r="AH65" s="1">
        <f>+$U65</f>
        <v>3</v>
      </c>
    </row>
    <row r="66" spans="1:36" s="2" customFormat="1">
      <c r="A66" s="43">
        <v>45</v>
      </c>
      <c r="B66" s="20" t="s">
        <v>151</v>
      </c>
      <c r="C66" s="20"/>
      <c r="D66" s="37"/>
      <c r="E66" s="85"/>
      <c r="F66" s="85"/>
      <c r="G66" s="85"/>
      <c r="H66" s="85"/>
      <c r="I66" s="85"/>
      <c r="J66" s="85"/>
      <c r="K66" s="85"/>
      <c r="L66" s="85"/>
      <c r="M66" s="85"/>
      <c r="N66" s="85"/>
      <c r="O66" s="37"/>
      <c r="P66" s="20">
        <f>SUM(P63:P65)</f>
        <v>3800</v>
      </c>
      <c r="Q66" s="37">
        <f>SUM(Q63:Q65)</f>
        <v>3800</v>
      </c>
      <c r="R66" s="37">
        <f>SUM(R63:R65)</f>
        <v>0</v>
      </c>
      <c r="S66" s="21">
        <f>IF(Q66=0,"NA",(+P66-Q66)/Q66)</f>
        <v>0</v>
      </c>
      <c r="U66" s="37">
        <f>SUM(U63:U65)</f>
        <v>2041.25</v>
      </c>
      <c r="V66" s="37">
        <f>SUM(V63:V65)</f>
        <v>3166.7</v>
      </c>
      <c r="W66" s="21">
        <f>IF(V66=0,"NA",(+U66-V66)/V66)</f>
        <v>-0.35540152208924114</v>
      </c>
      <c r="X66" s="73"/>
      <c r="Y66" s="59"/>
    </row>
    <row r="67" spans="1:36" ht="6.75" customHeight="1">
      <c r="A67" s="43">
        <v>46</v>
      </c>
      <c r="D67" s="1"/>
      <c r="E67" s="39"/>
      <c r="S67" s="5"/>
      <c r="X67" s="73"/>
      <c r="Y67" s="59"/>
    </row>
    <row r="68" spans="1:36" s="2" customFormat="1">
      <c r="A68" s="43">
        <v>51</v>
      </c>
      <c r="B68" s="20" t="s">
        <v>24</v>
      </c>
      <c r="C68" s="20"/>
      <c r="D68" s="37"/>
      <c r="E68" s="85"/>
      <c r="F68" s="85"/>
      <c r="G68" s="85"/>
      <c r="H68" s="85"/>
      <c r="I68" s="85"/>
      <c r="J68" s="85"/>
      <c r="K68" s="85"/>
      <c r="L68" s="85"/>
      <c r="M68" s="85"/>
      <c r="N68" s="85"/>
      <c r="O68" s="37"/>
      <c r="P68" s="48">
        <v>8000</v>
      </c>
      <c r="Q68" s="48">
        <v>12800</v>
      </c>
      <c r="R68" s="45">
        <f>+P68-Q68</f>
        <v>-4800</v>
      </c>
      <c r="S68" s="21">
        <f>IF(Q68=0,"NA",(+P68-Q68)/Q68)</f>
        <v>-0.375</v>
      </c>
      <c r="U68" s="48">
        <v>1094.4000000000001</v>
      </c>
      <c r="V68" s="48">
        <v>10666.7</v>
      </c>
      <c r="W68" s="21">
        <f>IF(V68=0,"NA",(+U68-V68)/V68)</f>
        <v>-0.8974003206239981</v>
      </c>
      <c r="X68" s="547" t="s">
        <v>551</v>
      </c>
      <c r="Y68" s="58"/>
      <c r="AE68" s="1">
        <f>+$P68</f>
        <v>8000</v>
      </c>
      <c r="AI68" s="1">
        <f>+$U68</f>
        <v>1094.4000000000001</v>
      </c>
    </row>
    <row r="69" spans="1:36" ht="6.75" customHeight="1">
      <c r="A69" s="43">
        <v>52</v>
      </c>
      <c r="S69" s="5"/>
      <c r="X69" s="73"/>
      <c r="Y69" s="59"/>
    </row>
    <row r="70" spans="1:36">
      <c r="A70" s="43">
        <v>53</v>
      </c>
      <c r="B70" s="2" t="s">
        <v>94</v>
      </c>
      <c r="S70" s="5"/>
      <c r="X70" s="73"/>
      <c r="Y70" s="59"/>
    </row>
    <row r="71" spans="1:36">
      <c r="A71" s="43">
        <v>54</v>
      </c>
      <c r="C71" s="398" t="s">
        <v>96</v>
      </c>
      <c r="D71" s="399"/>
      <c r="E71" s="400"/>
      <c r="F71" s="401"/>
      <c r="G71" s="401"/>
      <c r="H71" s="401"/>
      <c r="I71" s="401"/>
      <c r="J71" s="401"/>
      <c r="K71" s="401"/>
      <c r="L71" s="401"/>
      <c r="M71" s="401"/>
      <c r="N71" s="401"/>
      <c r="O71" s="398"/>
      <c r="P71" s="402">
        <v>400</v>
      </c>
      <c r="Q71" s="402">
        <v>400</v>
      </c>
      <c r="R71" s="403">
        <f>+P71-Q71</f>
        <v>0</v>
      </c>
      <c r="S71" s="404">
        <f>IF(Q71=0,"NA",(+P71-Q71)/Q71)</f>
        <v>0</v>
      </c>
      <c r="T71" s="398"/>
      <c r="U71" s="402">
        <v>0</v>
      </c>
      <c r="V71" s="402">
        <v>333.3</v>
      </c>
      <c r="W71" s="404">
        <f>IF(V71=0,"NA",(+U71-V71)/V71)</f>
        <v>-1</v>
      </c>
      <c r="X71" s="797" t="s">
        <v>499</v>
      </c>
      <c r="Y71" s="58"/>
      <c r="AD71" s="1">
        <f>+$P71</f>
        <v>400</v>
      </c>
      <c r="AH71" s="1">
        <f>+$U71</f>
        <v>0</v>
      </c>
    </row>
    <row r="72" spans="1:36">
      <c r="C72" s="398"/>
      <c r="D72" s="399"/>
      <c r="E72" s="400"/>
      <c r="F72" s="401"/>
      <c r="G72" s="401"/>
      <c r="H72" s="401"/>
      <c r="I72" s="401"/>
      <c r="J72" s="401"/>
      <c r="K72" s="401"/>
      <c r="L72" s="401"/>
      <c r="M72" s="401"/>
      <c r="N72" s="401"/>
      <c r="O72" s="398"/>
      <c r="P72" s="402"/>
      <c r="Q72" s="402"/>
      <c r="R72" s="403"/>
      <c r="S72" s="404"/>
      <c r="T72" s="398"/>
      <c r="U72" s="402"/>
      <c r="V72" s="402"/>
      <c r="W72" s="404"/>
      <c r="X72" s="234" t="s">
        <v>500</v>
      </c>
      <c r="Y72" s="58"/>
    </row>
    <row r="73" spans="1:36">
      <c r="A73" s="43">
        <v>55</v>
      </c>
      <c r="C73" s="243" t="s">
        <v>91</v>
      </c>
      <c r="D73" s="251"/>
      <c r="E73" s="252"/>
      <c r="F73" s="253"/>
      <c r="G73" s="253"/>
      <c r="H73" s="253"/>
      <c r="I73" s="253"/>
      <c r="J73" s="253"/>
      <c r="K73" s="253"/>
      <c r="L73" s="253"/>
      <c r="M73" s="253"/>
      <c r="N73" s="253"/>
      <c r="O73" s="243"/>
      <c r="P73" s="240">
        <v>150</v>
      </c>
      <c r="Q73" s="240">
        <v>150</v>
      </c>
      <c r="R73" s="241">
        <f>+P73-Q73</f>
        <v>0</v>
      </c>
      <c r="S73" s="242">
        <f>IF(Q73=0,"NA",(+P73-Q73)/Q73)</f>
        <v>0</v>
      </c>
      <c r="T73" s="243"/>
      <c r="U73" s="240">
        <v>0</v>
      </c>
      <c r="V73" s="240">
        <v>125</v>
      </c>
      <c r="W73" s="242">
        <f>IF(V73=0,"NA",(+U73-V73)/V73)</f>
        <v>-1</v>
      </c>
      <c r="X73" s="797" t="s">
        <v>496</v>
      </c>
      <c r="Y73" s="58"/>
      <c r="AD73" s="1">
        <f>+$P73</f>
        <v>150</v>
      </c>
      <c r="AH73" s="1">
        <f>+$U73</f>
        <v>0</v>
      </c>
    </row>
    <row r="74" spans="1:36" s="2" customFormat="1">
      <c r="A74" s="43">
        <v>56</v>
      </c>
      <c r="B74" s="20" t="s">
        <v>90</v>
      </c>
      <c r="C74" s="20"/>
      <c r="D74" s="37"/>
      <c r="E74" s="85"/>
      <c r="F74" s="85"/>
      <c r="G74" s="85"/>
      <c r="H74" s="85"/>
      <c r="I74" s="85"/>
      <c r="J74" s="85"/>
      <c r="K74" s="85"/>
      <c r="L74" s="85"/>
      <c r="M74" s="85"/>
      <c r="N74" s="85"/>
      <c r="O74" s="37"/>
      <c r="P74" s="20">
        <f>SUM(P71:P73)</f>
        <v>550</v>
      </c>
      <c r="Q74" s="37">
        <f>SUM(Q71:Q73)</f>
        <v>550</v>
      </c>
      <c r="R74" s="37">
        <f>SUM(R71:R73)</f>
        <v>0</v>
      </c>
      <c r="S74" s="21">
        <f>IF(Q74=0,"NA",(+P74-Q74)/Q74)</f>
        <v>0</v>
      </c>
      <c r="U74" s="37">
        <f>SUM(U71:U73)</f>
        <v>0</v>
      </c>
      <c r="V74" s="37">
        <f>SUM(V71:V73)</f>
        <v>458.3</v>
      </c>
      <c r="W74" s="21">
        <f>IF(V74=0,"NA",(+U74-V74)/V74)</f>
        <v>-1</v>
      </c>
      <c r="X74" s="74"/>
      <c r="Y74" s="61"/>
    </row>
    <row r="75" spans="1:36" ht="5.25" customHeight="1">
      <c r="A75" s="43">
        <v>57</v>
      </c>
      <c r="S75" s="5"/>
      <c r="X75" s="73"/>
      <c r="Y75" s="59"/>
    </row>
    <row r="76" spans="1:36" ht="14" customHeight="1">
      <c r="A76" s="43">
        <v>58</v>
      </c>
      <c r="B76" s="37" t="s">
        <v>498</v>
      </c>
      <c r="C76" s="22"/>
      <c r="D76" s="22"/>
      <c r="E76" s="86"/>
      <c r="F76" s="86"/>
      <c r="G76" s="86"/>
      <c r="H76" s="86"/>
      <c r="I76" s="86"/>
      <c r="J76" s="86"/>
      <c r="K76" s="86"/>
      <c r="L76" s="86"/>
      <c r="M76" s="86"/>
      <c r="N76" s="86"/>
      <c r="O76" s="22"/>
      <c r="P76" s="53">
        <v>200</v>
      </c>
      <c r="Q76" s="53">
        <v>200</v>
      </c>
      <c r="R76" s="45">
        <f>+P76-Q76</f>
        <v>0</v>
      </c>
      <c r="S76" s="21">
        <f>IF(Q76=0,"NA",(+P76-Q76)/Q76)</f>
        <v>0</v>
      </c>
      <c r="U76" s="53">
        <v>0</v>
      </c>
      <c r="V76" s="53">
        <v>166.7</v>
      </c>
      <c r="W76" s="21">
        <f>IF(V76=0,"NA",(+U76-V76)/V76)</f>
        <v>-1</v>
      </c>
      <c r="X76" s="797" t="s">
        <v>507</v>
      </c>
      <c r="Y76" s="58" t="s">
        <v>119</v>
      </c>
      <c r="AF76" s="1">
        <f>+$P76</f>
        <v>200</v>
      </c>
      <c r="AJ76" s="1">
        <f>+$U76</f>
        <v>0</v>
      </c>
    </row>
    <row r="77" spans="1:36" ht="6" customHeight="1">
      <c r="A77" s="43">
        <v>59</v>
      </c>
      <c r="S77" s="5"/>
      <c r="X77" s="73"/>
      <c r="Y77" s="59"/>
    </row>
    <row r="78" spans="1:36">
      <c r="A78" s="43">
        <v>60</v>
      </c>
      <c r="B78" s="2" t="s">
        <v>26</v>
      </c>
      <c r="S78" s="5"/>
      <c r="X78" s="73"/>
      <c r="Y78" s="59"/>
    </row>
    <row r="79" spans="1:36">
      <c r="A79" s="43">
        <v>61</v>
      </c>
      <c r="C79" s="233" t="s">
        <v>27</v>
      </c>
      <c r="D79" s="245"/>
      <c r="E79" s="246"/>
      <c r="F79" s="247"/>
      <c r="G79" s="247"/>
      <c r="H79" s="247"/>
      <c r="I79" s="247"/>
      <c r="J79" s="247"/>
      <c r="K79" s="247"/>
      <c r="L79" s="247"/>
      <c r="M79" s="247"/>
      <c r="N79" s="247"/>
      <c r="O79" s="233"/>
      <c r="P79" s="258">
        <v>200</v>
      </c>
      <c r="Q79" s="258">
        <v>200</v>
      </c>
      <c r="R79" s="231">
        <f t="shared" ref="R79:R85" si="14">+P79-Q79</f>
        <v>0</v>
      </c>
      <c r="S79" s="232">
        <f t="shared" ref="S79:S87" si="15">IF(Q79=0,"NA",(+P79-Q79)/Q79)</f>
        <v>0</v>
      </c>
      <c r="T79" s="233"/>
      <c r="U79" s="230">
        <v>450</v>
      </c>
      <c r="V79" s="230">
        <v>200</v>
      </c>
      <c r="W79" s="232">
        <f t="shared" ref="W79:W87" si="16">IF(V79=0,"NA",(+U79-V79)/V79)</f>
        <v>1.25</v>
      </c>
      <c r="X79" s="234" t="s">
        <v>531</v>
      </c>
      <c r="Y79" s="59"/>
      <c r="AD79" s="1">
        <f>+$P79</f>
        <v>200</v>
      </c>
      <c r="AH79" s="1">
        <f>+$U79</f>
        <v>450</v>
      </c>
    </row>
    <row r="80" spans="1:36">
      <c r="C80" s="243" t="s">
        <v>28</v>
      </c>
      <c r="D80" s="251"/>
      <c r="E80" s="252"/>
      <c r="F80" s="253"/>
      <c r="G80" s="253"/>
      <c r="H80" s="253"/>
      <c r="I80" s="253"/>
      <c r="J80" s="253"/>
      <c r="K80" s="253"/>
      <c r="L80" s="253"/>
      <c r="M80" s="253"/>
      <c r="N80" s="253"/>
      <c r="O80" s="243"/>
      <c r="P80" s="257">
        <v>300</v>
      </c>
      <c r="Q80" s="257">
        <v>500</v>
      </c>
      <c r="R80" s="241">
        <f>+P80-Q80</f>
        <v>-200</v>
      </c>
      <c r="S80" s="242">
        <f>IF(Q80=0,"NA",(+P80-Q80)/Q80)</f>
        <v>-0.4</v>
      </c>
      <c r="T80" s="243"/>
      <c r="U80" s="240">
        <v>0</v>
      </c>
      <c r="V80" s="240">
        <v>500</v>
      </c>
      <c r="W80" s="242">
        <f>IF(V80=0,"NA",(+U80-V80)/V80)</f>
        <v>-1</v>
      </c>
      <c r="X80" s="798" t="s">
        <v>530</v>
      </c>
      <c r="Y80" s="59"/>
    </row>
    <row r="81" spans="1:35" ht="15.5">
      <c r="A81" s="43">
        <v>62</v>
      </c>
      <c r="D81" s="1"/>
      <c r="E81" s="1"/>
      <c r="F81" s="1"/>
      <c r="G81" s="1"/>
      <c r="H81" s="1"/>
      <c r="I81" s="1"/>
      <c r="J81" s="1"/>
      <c r="K81" s="1"/>
      <c r="L81" s="1"/>
      <c r="M81" s="1"/>
      <c r="N81" s="1"/>
      <c r="W81" s="1"/>
      <c r="X81" s="234" t="s">
        <v>502</v>
      </c>
      <c r="Y81" s="63" t="s">
        <v>118</v>
      </c>
      <c r="AD81" s="1">
        <f>+$P80</f>
        <v>300</v>
      </c>
      <c r="AH81" s="1">
        <f>+$U80</f>
        <v>0</v>
      </c>
    </row>
    <row r="82" spans="1:35">
      <c r="A82" s="43">
        <v>63</v>
      </c>
      <c r="C82" s="243" t="s">
        <v>29</v>
      </c>
      <c r="D82" s="251"/>
      <c r="E82" s="252"/>
      <c r="F82" s="253"/>
      <c r="G82" s="253"/>
      <c r="H82" s="253"/>
      <c r="I82" s="253"/>
      <c r="J82" s="253"/>
      <c r="K82" s="253"/>
      <c r="L82" s="253"/>
      <c r="M82" s="253"/>
      <c r="N82" s="253"/>
      <c r="O82" s="243"/>
      <c r="P82" s="257">
        <v>1000</v>
      </c>
      <c r="Q82" s="257">
        <v>1000</v>
      </c>
      <c r="R82" s="241">
        <f t="shared" si="14"/>
        <v>0</v>
      </c>
      <c r="S82" s="242">
        <f t="shared" si="15"/>
        <v>0</v>
      </c>
      <c r="T82" s="243"/>
      <c r="U82" s="240">
        <v>654</v>
      </c>
      <c r="V82" s="240">
        <v>1000</v>
      </c>
      <c r="W82" s="242">
        <f t="shared" si="16"/>
        <v>-0.34599999999999997</v>
      </c>
      <c r="X82" s="798" t="s">
        <v>540</v>
      </c>
      <c r="Y82" s="64"/>
      <c r="AF82" s="1">
        <f>+$P82</f>
        <v>1000</v>
      </c>
      <c r="AI82" s="1">
        <f t="shared" ref="AH82:AI85" si="17">+$U82</f>
        <v>654</v>
      </c>
    </row>
    <row r="83" spans="1:35">
      <c r="A83" s="43">
        <v>64</v>
      </c>
      <c r="C83" s="238" t="s">
        <v>30</v>
      </c>
      <c r="D83" s="248"/>
      <c r="E83" s="249"/>
      <c r="F83" s="250"/>
      <c r="G83" s="250"/>
      <c r="H83" s="250"/>
      <c r="I83" s="250"/>
      <c r="J83" s="250"/>
      <c r="K83" s="250"/>
      <c r="L83" s="250"/>
      <c r="M83" s="250"/>
      <c r="N83" s="250"/>
      <c r="O83" s="238"/>
      <c r="P83" s="256">
        <v>2000</v>
      </c>
      <c r="Q83" s="256">
        <v>3000</v>
      </c>
      <c r="R83" s="236">
        <f t="shared" si="14"/>
        <v>-1000</v>
      </c>
      <c r="S83" s="237">
        <f t="shared" si="15"/>
        <v>-0.33333333333333331</v>
      </c>
      <c r="T83" s="238"/>
      <c r="U83" s="235">
        <v>322.07</v>
      </c>
      <c r="V83" s="235">
        <v>2500</v>
      </c>
      <c r="W83" s="237">
        <f t="shared" si="16"/>
        <v>-0.87117199999999995</v>
      </c>
      <c r="X83" s="645" t="s">
        <v>552</v>
      </c>
      <c r="Y83" s="62"/>
      <c r="AF83" s="1">
        <f>+$P83</f>
        <v>2000</v>
      </c>
      <c r="AI83" s="1">
        <f t="shared" si="17"/>
        <v>322.07</v>
      </c>
    </row>
    <row r="84" spans="1:35">
      <c r="C84" s="238" t="s">
        <v>296</v>
      </c>
      <c r="D84" s="248"/>
      <c r="E84" s="249"/>
      <c r="F84" s="250"/>
      <c r="G84" s="250"/>
      <c r="H84" s="250"/>
      <c r="I84" s="250"/>
      <c r="J84" s="250"/>
      <c r="K84" s="250"/>
      <c r="L84" s="250"/>
      <c r="M84" s="250"/>
      <c r="N84" s="250"/>
      <c r="O84" s="238"/>
      <c r="P84" s="256">
        <v>200</v>
      </c>
      <c r="Q84" s="256">
        <v>200</v>
      </c>
      <c r="R84" s="236">
        <f>+P84-Q84</f>
        <v>0</v>
      </c>
      <c r="S84" s="237">
        <f>IF(Q84=0,"NA",(+P84-Q84)/Q84)</f>
        <v>0</v>
      </c>
      <c r="T84" s="238"/>
      <c r="U84" s="235">
        <v>0</v>
      </c>
      <c r="V84" s="235">
        <v>166.7</v>
      </c>
      <c r="W84" s="237">
        <f>IF(V84=0,"NA",(+U84-V84)/V84)</f>
        <v>-1</v>
      </c>
      <c r="X84" s="244"/>
      <c r="Y84" s="62"/>
      <c r="AD84" s="1">
        <f>+$P84</f>
        <v>200</v>
      </c>
      <c r="AH84" s="1">
        <f t="shared" si="17"/>
        <v>0</v>
      </c>
    </row>
    <row r="85" spans="1:35">
      <c r="A85" s="43">
        <v>65</v>
      </c>
      <c r="C85" s="243" t="s">
        <v>117</v>
      </c>
      <c r="D85" s="251"/>
      <c r="E85" s="252"/>
      <c r="F85" s="253"/>
      <c r="G85" s="253"/>
      <c r="H85" s="253"/>
      <c r="I85" s="253"/>
      <c r="J85" s="253"/>
      <c r="K85" s="253"/>
      <c r="L85" s="253"/>
      <c r="M85" s="253"/>
      <c r="N85" s="253"/>
      <c r="O85" s="243"/>
      <c r="P85" s="257">
        <v>1575</v>
      </c>
      <c r="Q85" s="257">
        <v>1575</v>
      </c>
      <c r="R85" s="241">
        <f t="shared" si="14"/>
        <v>0</v>
      </c>
      <c r="S85" s="242">
        <f t="shared" si="15"/>
        <v>0</v>
      </c>
      <c r="T85" s="243"/>
      <c r="U85" s="257">
        <v>286.25</v>
      </c>
      <c r="V85" s="257">
        <v>1312.5</v>
      </c>
      <c r="W85" s="242">
        <f t="shared" si="16"/>
        <v>-0.78190476190476188</v>
      </c>
      <c r="X85" s="644" t="s">
        <v>614</v>
      </c>
      <c r="Y85" s="58" t="s">
        <v>118</v>
      </c>
      <c r="AD85" s="1">
        <f>+$P85</f>
        <v>1575</v>
      </c>
      <c r="AH85" s="1">
        <f t="shared" si="17"/>
        <v>286.25</v>
      </c>
    </row>
    <row r="86" spans="1:35" ht="43.5">
      <c r="C86" s="398"/>
      <c r="D86" s="399"/>
      <c r="E86" s="400"/>
      <c r="F86" s="401"/>
      <c r="G86" s="401"/>
      <c r="H86" s="401"/>
      <c r="I86" s="401"/>
      <c r="J86" s="401"/>
      <c r="K86" s="401"/>
      <c r="L86" s="401"/>
      <c r="M86" s="401"/>
      <c r="N86" s="401"/>
      <c r="O86" s="398"/>
      <c r="P86" s="406"/>
      <c r="Q86" s="406"/>
      <c r="R86" s="403"/>
      <c r="S86" s="404"/>
      <c r="T86" s="398"/>
      <c r="U86" s="406"/>
      <c r="V86" s="406"/>
      <c r="W86" s="404"/>
      <c r="X86" s="405" t="s">
        <v>615</v>
      </c>
      <c r="Y86" s="58"/>
    </row>
    <row r="87" spans="1:35" s="2" customFormat="1">
      <c r="A87" s="43">
        <v>66</v>
      </c>
      <c r="B87" s="20" t="s">
        <v>31</v>
      </c>
      <c r="C87" s="20"/>
      <c r="D87" s="37"/>
      <c r="E87" s="85"/>
      <c r="F87" s="85"/>
      <c r="G87" s="85"/>
      <c r="H87" s="85"/>
      <c r="I87" s="85"/>
      <c r="J87" s="85"/>
      <c r="K87" s="85"/>
      <c r="L87" s="85"/>
      <c r="M87" s="85"/>
      <c r="N87" s="85"/>
      <c r="O87" s="37"/>
      <c r="P87" s="20">
        <f>SUM(P79:P85)</f>
        <v>5275</v>
      </c>
      <c r="Q87" s="37">
        <f>SUM(Q79:Q85)</f>
        <v>6475</v>
      </c>
      <c r="R87" s="37">
        <f>SUM(R79:R85)</f>
        <v>-1200</v>
      </c>
      <c r="S87" s="21">
        <f t="shared" si="15"/>
        <v>-0.18532818532818532</v>
      </c>
      <c r="U87" s="37">
        <f>SUM(U79:U85)</f>
        <v>1712.32</v>
      </c>
      <c r="V87" s="37">
        <f>SUM(V79:V85)</f>
        <v>5679.2</v>
      </c>
      <c r="W87" s="21">
        <f t="shared" si="16"/>
        <v>-0.69849274545710671</v>
      </c>
      <c r="X87" s="74"/>
      <c r="Y87" s="61"/>
    </row>
    <row r="88" spans="1:35" ht="6" customHeight="1">
      <c r="A88" s="43">
        <v>67</v>
      </c>
      <c r="S88" s="5"/>
      <c r="X88" s="73"/>
      <c r="Y88" s="59"/>
    </row>
    <row r="89" spans="1:35">
      <c r="A89" s="43">
        <v>68</v>
      </c>
      <c r="B89" s="2" t="s">
        <v>32</v>
      </c>
      <c r="S89" s="5"/>
      <c r="X89" s="73"/>
      <c r="Y89" s="59"/>
      <c r="AD89" s="560">
        <v>0.33300000000000002</v>
      </c>
      <c r="AE89" s="560">
        <v>0.33300000000000002</v>
      </c>
      <c r="AF89" s="560">
        <v>0.33400000000000002</v>
      </c>
    </row>
    <row r="90" spans="1:35" ht="17" customHeight="1">
      <c r="A90" s="43">
        <v>69</v>
      </c>
      <c r="C90" s="233" t="s">
        <v>33</v>
      </c>
      <c r="D90" s="245"/>
      <c r="E90" s="246"/>
      <c r="F90" s="247"/>
      <c r="G90" s="247"/>
      <c r="H90" s="247"/>
      <c r="I90" s="247"/>
      <c r="J90" s="247"/>
      <c r="K90" s="247"/>
      <c r="L90" s="247"/>
      <c r="M90" s="247"/>
      <c r="N90" s="247"/>
      <c r="O90" s="233"/>
      <c r="P90" s="258">
        <v>2500</v>
      </c>
      <c r="Q90" s="258">
        <v>3500</v>
      </c>
      <c r="R90" s="231">
        <f t="shared" ref="R90:R95" si="18">+P90-Q90</f>
        <v>-1000</v>
      </c>
      <c r="S90" s="232">
        <f t="shared" ref="S90:S99" si="19">IF(Q90=0,"NA",(+P90-Q90)/Q90)</f>
        <v>-0.2857142857142857</v>
      </c>
      <c r="T90" s="233"/>
      <c r="U90" s="230">
        <v>1908.94</v>
      </c>
      <c r="V90" s="230">
        <v>2916.7</v>
      </c>
      <c r="W90" s="232">
        <f t="shared" ref="W90:W99" si="20">IF(V90=0,"NA",(+U90-V90)/V90)</f>
        <v>-0.345513765556965</v>
      </c>
      <c r="X90" s="808" t="s">
        <v>542</v>
      </c>
      <c r="Y90" s="62" t="s">
        <v>313</v>
      </c>
      <c r="AD90" s="1">
        <f>+$P90*AD$89</f>
        <v>832.5</v>
      </c>
      <c r="AE90" s="1">
        <f t="shared" ref="AE90:AF95" si="21">+$P90*AE$89</f>
        <v>832.5</v>
      </c>
      <c r="AF90" s="1">
        <f t="shared" si="21"/>
        <v>835</v>
      </c>
      <c r="AH90" s="1">
        <f t="shared" ref="AH90:AH95" si="22">+$U90</f>
        <v>1908.94</v>
      </c>
    </row>
    <row r="91" spans="1:35">
      <c r="A91" s="43">
        <v>70</v>
      </c>
      <c r="C91" s="238" t="s">
        <v>34</v>
      </c>
      <c r="D91" s="248"/>
      <c r="E91" s="249"/>
      <c r="F91" s="250"/>
      <c r="G91" s="250"/>
      <c r="H91" s="250"/>
      <c r="I91" s="250"/>
      <c r="J91" s="250"/>
      <c r="K91" s="250"/>
      <c r="L91" s="250"/>
      <c r="M91" s="250"/>
      <c r="N91" s="250"/>
      <c r="O91" s="238"/>
      <c r="P91" s="235">
        <v>2300</v>
      </c>
      <c r="Q91" s="235">
        <v>2250</v>
      </c>
      <c r="R91" s="236">
        <f t="shared" si="18"/>
        <v>50</v>
      </c>
      <c r="S91" s="237">
        <f t="shared" si="19"/>
        <v>2.2222222222222223E-2</v>
      </c>
      <c r="T91" s="238"/>
      <c r="U91" s="235">
        <v>2403.44</v>
      </c>
      <c r="V91" s="235">
        <v>1875</v>
      </c>
      <c r="W91" s="237">
        <f t="shared" si="20"/>
        <v>0.28183466666666668</v>
      </c>
      <c r="X91" s="808" t="s">
        <v>542</v>
      </c>
      <c r="Y91" s="62" t="s">
        <v>118</v>
      </c>
      <c r="AD91" s="1">
        <f>+$P91*AD$89</f>
        <v>765.90000000000009</v>
      </c>
      <c r="AE91" s="1">
        <f t="shared" si="21"/>
        <v>765.90000000000009</v>
      </c>
      <c r="AF91" s="1">
        <f t="shared" si="21"/>
        <v>768.2</v>
      </c>
      <c r="AH91" s="1">
        <f t="shared" si="22"/>
        <v>2403.44</v>
      </c>
    </row>
    <row r="92" spans="1:35" ht="16.5" customHeight="1">
      <c r="A92" s="43">
        <v>73</v>
      </c>
      <c r="C92" s="243" t="s">
        <v>35</v>
      </c>
      <c r="D92" s="251"/>
      <c r="E92" s="252"/>
      <c r="F92" s="253"/>
      <c r="G92" s="253"/>
      <c r="H92" s="253"/>
      <c r="I92" s="253"/>
      <c r="J92" s="253"/>
      <c r="K92" s="253"/>
      <c r="L92" s="253"/>
      <c r="M92" s="253"/>
      <c r="N92" s="253"/>
      <c r="O92" s="243"/>
      <c r="P92" s="257">
        <v>11000</v>
      </c>
      <c r="Q92" s="257">
        <v>13000</v>
      </c>
      <c r="R92" s="241">
        <f t="shared" si="18"/>
        <v>-2000</v>
      </c>
      <c r="S92" s="242">
        <f t="shared" si="19"/>
        <v>-0.15384615384615385</v>
      </c>
      <c r="T92" s="243"/>
      <c r="U92" s="257">
        <v>8976.7199999999993</v>
      </c>
      <c r="V92" s="240">
        <v>10833.3</v>
      </c>
      <c r="W92" s="242">
        <f t="shared" si="20"/>
        <v>-0.17137714269890061</v>
      </c>
      <c r="X92" s="644" t="s">
        <v>542</v>
      </c>
      <c r="Y92" s="62" t="s">
        <v>138</v>
      </c>
      <c r="AD92" s="1">
        <f t="shared" ref="AD92:AD95" si="23">+$P92*AD$89</f>
        <v>3663</v>
      </c>
      <c r="AE92" s="1">
        <f t="shared" si="21"/>
        <v>3663</v>
      </c>
      <c r="AF92" s="1">
        <f t="shared" si="21"/>
        <v>3674</v>
      </c>
      <c r="AH92" s="1">
        <f t="shared" si="22"/>
        <v>8976.7199999999993</v>
      </c>
    </row>
    <row r="93" spans="1:35" ht="29">
      <c r="C93" s="233"/>
      <c r="D93" s="245"/>
      <c r="E93" s="246"/>
      <c r="F93" s="247"/>
      <c r="G93" s="247"/>
      <c r="H93" s="247"/>
      <c r="I93" s="247"/>
      <c r="J93" s="247"/>
      <c r="K93" s="247"/>
      <c r="L93" s="247"/>
      <c r="M93" s="247"/>
      <c r="N93" s="247"/>
      <c r="O93" s="233"/>
      <c r="P93" s="258"/>
      <c r="Q93" s="258"/>
      <c r="R93" s="231"/>
      <c r="S93" s="232"/>
      <c r="T93" s="233"/>
      <c r="U93" s="258"/>
      <c r="V93" s="230"/>
      <c r="W93" s="232"/>
      <c r="X93" s="234" t="s">
        <v>553</v>
      </c>
      <c r="Y93" s="62"/>
      <c r="Z93" s="2"/>
    </row>
    <row r="94" spans="1:35" ht="29">
      <c r="A94" s="43">
        <v>74</v>
      </c>
      <c r="C94" s="238" t="s">
        <v>36</v>
      </c>
      <c r="D94" s="248"/>
      <c r="E94" s="249"/>
      <c r="F94" s="250"/>
      <c r="G94" s="250"/>
      <c r="H94" s="250"/>
      <c r="I94" s="250"/>
      <c r="J94" s="250"/>
      <c r="K94" s="250"/>
      <c r="L94" s="250"/>
      <c r="M94" s="250"/>
      <c r="N94" s="250"/>
      <c r="O94" s="238"/>
      <c r="P94" s="256">
        <v>800</v>
      </c>
      <c r="Q94" s="256">
        <v>1200</v>
      </c>
      <c r="R94" s="236">
        <f t="shared" si="18"/>
        <v>-400</v>
      </c>
      <c r="S94" s="237">
        <f t="shared" si="19"/>
        <v>-0.33333333333333331</v>
      </c>
      <c r="T94" s="238"/>
      <c r="U94" s="235">
        <v>0</v>
      </c>
      <c r="V94" s="235">
        <v>1000</v>
      </c>
      <c r="W94" s="237">
        <f t="shared" si="20"/>
        <v>-1</v>
      </c>
      <c r="X94" s="645" t="s">
        <v>543</v>
      </c>
      <c r="Y94" s="59"/>
      <c r="AD94" s="1">
        <f t="shared" si="23"/>
        <v>266.40000000000003</v>
      </c>
      <c r="AE94" s="1">
        <f t="shared" si="21"/>
        <v>266.40000000000003</v>
      </c>
      <c r="AF94" s="1">
        <f t="shared" si="21"/>
        <v>267.2</v>
      </c>
      <c r="AH94" s="1">
        <f t="shared" si="22"/>
        <v>0</v>
      </c>
    </row>
    <row r="95" spans="1:35" ht="44" customHeight="1" thickBot="1">
      <c r="A95" s="43">
        <v>75</v>
      </c>
      <c r="C95" s="243" t="s">
        <v>37</v>
      </c>
      <c r="D95" s="251"/>
      <c r="E95" s="902" t="s">
        <v>160</v>
      </c>
      <c r="F95" s="903"/>
      <c r="G95" s="903"/>
      <c r="H95" s="903"/>
      <c r="I95" s="903"/>
      <c r="J95" s="903"/>
      <c r="K95" s="903"/>
      <c r="L95" s="903"/>
      <c r="M95" s="904"/>
      <c r="N95" s="395"/>
      <c r="O95" s="243"/>
      <c r="P95" s="257">
        <v>1700</v>
      </c>
      <c r="Q95" s="257">
        <v>1700</v>
      </c>
      <c r="R95" s="241">
        <f t="shared" si="18"/>
        <v>0</v>
      </c>
      <c r="S95" s="242">
        <f t="shared" si="19"/>
        <v>0</v>
      </c>
      <c r="T95" s="243"/>
      <c r="U95" s="240">
        <v>1406.78</v>
      </c>
      <c r="V95" s="240">
        <v>1416.7</v>
      </c>
      <c r="W95" s="242">
        <f t="shared" si="20"/>
        <v>-7.0021881838074913E-3</v>
      </c>
      <c r="X95" s="244" t="s">
        <v>554</v>
      </c>
      <c r="Y95" s="62" t="s">
        <v>131</v>
      </c>
      <c r="AD95" s="1">
        <f t="shared" si="23"/>
        <v>566.1</v>
      </c>
      <c r="AE95" s="1">
        <f t="shared" si="21"/>
        <v>566.1</v>
      </c>
      <c r="AF95" s="1">
        <f t="shared" si="21"/>
        <v>567.80000000000007</v>
      </c>
      <c r="AH95" s="1">
        <f t="shared" si="22"/>
        <v>1406.78</v>
      </c>
    </row>
    <row r="96" spans="1:35">
      <c r="C96" s="243" t="s">
        <v>280</v>
      </c>
      <c r="D96" s="251"/>
      <c r="E96" s="252"/>
      <c r="F96" s="253"/>
      <c r="G96" s="253"/>
      <c r="H96" s="253"/>
      <c r="I96" s="253"/>
      <c r="J96" s="253"/>
      <c r="K96" s="253"/>
      <c r="L96" s="253"/>
      <c r="M96" s="253"/>
      <c r="N96" s="253"/>
      <c r="O96" s="243"/>
      <c r="P96" s="257">
        <v>1500</v>
      </c>
      <c r="Q96" s="257">
        <v>2500</v>
      </c>
      <c r="R96" s="241">
        <f>+P96-Q96</f>
        <v>-1000</v>
      </c>
      <c r="S96" s="242">
        <f>IF(Q96=0,"NA",(+P96-Q96)/Q96)</f>
        <v>-0.4</v>
      </c>
      <c r="T96" s="243"/>
      <c r="U96" s="240">
        <v>500</v>
      </c>
      <c r="V96" s="240">
        <v>2083.3000000000002</v>
      </c>
      <c r="W96" s="242">
        <f>IF(V96=0,"NA",(+U96-V96)/V96)</f>
        <v>-0.75999615993855907</v>
      </c>
      <c r="X96" s="644" t="s">
        <v>532</v>
      </c>
      <c r="Y96" s="62"/>
    </row>
    <row r="97" spans="1:37" ht="14.5" customHeight="1" thickBot="1">
      <c r="A97" s="43">
        <v>73</v>
      </c>
      <c r="D97" s="1"/>
      <c r="E97" s="1"/>
      <c r="F97" s="1"/>
      <c r="G97" s="1"/>
      <c r="H97" s="1"/>
      <c r="I97" s="1"/>
      <c r="J97" s="1"/>
      <c r="K97" s="1"/>
      <c r="L97" s="1"/>
      <c r="M97" s="1"/>
      <c r="N97" s="1"/>
      <c r="W97" s="1"/>
      <c r="X97" s="805" t="s">
        <v>555</v>
      </c>
      <c r="Y97" s="62" t="s">
        <v>138</v>
      </c>
      <c r="AD97" s="1">
        <f>+$P96*AD$89</f>
        <v>499.5</v>
      </c>
      <c r="AE97" s="1">
        <f>+$P96*AE$89</f>
        <v>499.5</v>
      </c>
      <c r="AF97" s="1">
        <f>+$P96*AF$89</f>
        <v>501.00000000000006</v>
      </c>
      <c r="AH97" s="1">
        <f>+$U96</f>
        <v>500</v>
      </c>
    </row>
    <row r="98" spans="1:37" s="2" customFormat="1">
      <c r="A98" s="43">
        <v>76</v>
      </c>
      <c r="B98" s="20" t="s">
        <v>39</v>
      </c>
      <c r="C98" s="20"/>
      <c r="D98" s="37"/>
      <c r="E98" s="901">
        <f>Bud_Yr</f>
        <v>2022</v>
      </c>
      <c r="F98" s="876"/>
      <c r="G98" s="876"/>
      <c r="H98" s="876"/>
      <c r="I98" s="876">
        <f>Bud_Yr-1</f>
        <v>2021</v>
      </c>
      <c r="J98" s="876"/>
      <c r="K98" s="876"/>
      <c r="L98" s="876"/>
      <c r="M98" s="95">
        <f>Bud_Yr-2</f>
        <v>2020</v>
      </c>
      <c r="N98" s="396"/>
      <c r="O98" s="37"/>
      <c r="P98" s="20">
        <f>SUM(P90:P96)</f>
        <v>19800</v>
      </c>
      <c r="Q98" s="37">
        <f>SUM(Q90:Q96)</f>
        <v>24150</v>
      </c>
      <c r="R98" s="37">
        <f>SUM(R90:R96)</f>
        <v>-4350</v>
      </c>
      <c r="S98" s="21">
        <f t="shared" si="19"/>
        <v>-0.18012422360248448</v>
      </c>
      <c r="U98" s="37">
        <f>SUM(U90:U96)</f>
        <v>15195.88</v>
      </c>
      <c r="V98" s="37">
        <f>SUM(V90:V96)</f>
        <v>20125</v>
      </c>
      <c r="W98" s="21">
        <f t="shared" si="20"/>
        <v>-0.24492521739130438</v>
      </c>
      <c r="X98" s="99"/>
      <c r="Y98" s="61"/>
      <c r="Z98" s="1"/>
    </row>
    <row r="99" spans="1:37" ht="15" thickBot="1">
      <c r="A99" s="43">
        <v>77</v>
      </c>
      <c r="B99" s="20" t="s">
        <v>89</v>
      </c>
      <c r="C99" s="23"/>
      <c r="D99" s="23"/>
      <c r="E99" s="96" t="s">
        <v>158</v>
      </c>
      <c r="F99" s="97" t="s">
        <v>159</v>
      </c>
      <c r="G99" s="97" t="s">
        <v>162</v>
      </c>
      <c r="H99" s="97" t="s">
        <v>157</v>
      </c>
      <c r="I99" s="97" t="s">
        <v>158</v>
      </c>
      <c r="J99" s="97" t="s">
        <v>159</v>
      </c>
      <c r="K99" s="97" t="s">
        <v>162</v>
      </c>
      <c r="L99" s="97" t="s">
        <v>157</v>
      </c>
      <c r="M99" s="98" t="s">
        <v>159</v>
      </c>
      <c r="N99" s="397"/>
      <c r="O99" s="23"/>
      <c r="P99" s="20">
        <f>+P60+P66+P68+P76+P87+P98+P74</f>
        <v>41675</v>
      </c>
      <c r="Q99" s="37">
        <f>+Q60+Q66+Q68+Q76+Q87+Q98+Q74</f>
        <v>52825</v>
      </c>
      <c r="R99" s="37">
        <f>+R60+R66+R68+R76+R87+R98+R74</f>
        <v>-11150</v>
      </c>
      <c r="S99" s="21">
        <f t="shared" si="19"/>
        <v>-0.21107430194036914</v>
      </c>
      <c r="U99" s="37">
        <f>+U60+U66+U68+U76+U87+U98+U74</f>
        <v>21230.519999999997</v>
      </c>
      <c r="V99" s="37">
        <f>+V60+V66+V68+V76+V87+V98+V74</f>
        <v>44168.08</v>
      </c>
      <c r="W99" s="21">
        <f t="shared" si="20"/>
        <v>-0.51932436275246752</v>
      </c>
      <c r="X99" s="73"/>
      <c r="Y99" s="59"/>
    </row>
    <row r="100" spans="1:37" ht="30" customHeight="1">
      <c r="A100" s="43">
        <v>79</v>
      </c>
      <c r="B100" s="7" t="s">
        <v>38</v>
      </c>
      <c r="F100" s="87">
        <v>0</v>
      </c>
      <c r="G100" s="905" t="s">
        <v>102</v>
      </c>
      <c r="H100" s="905"/>
      <c r="K100" s="78" t="s">
        <v>175</v>
      </c>
      <c r="L100" s="87">
        <v>0.01</v>
      </c>
      <c r="O100" s="889" t="s">
        <v>98</v>
      </c>
      <c r="S100" s="5"/>
      <c r="X100" s="73"/>
      <c r="Y100" s="59"/>
    </row>
    <row r="101" spans="1:37" ht="15" customHeight="1">
      <c r="A101" s="43">
        <v>80</v>
      </c>
      <c r="B101" s="2" t="s">
        <v>152</v>
      </c>
      <c r="D101" s="50" t="s">
        <v>220</v>
      </c>
      <c r="F101" s="87">
        <v>0</v>
      </c>
      <c r="G101" s="905" t="s">
        <v>103</v>
      </c>
      <c r="H101" s="905"/>
      <c r="K101" s="78"/>
      <c r="O101" s="889"/>
      <c r="R101" s="124"/>
      <c r="S101" s="5"/>
      <c r="U101" s="125"/>
      <c r="V101" s="35"/>
      <c r="X101" s="806" t="s">
        <v>503</v>
      </c>
      <c r="Y101" s="58"/>
    </row>
    <row r="102" spans="1:37" ht="15" customHeight="1">
      <c r="C102" s="398" t="s">
        <v>177</v>
      </c>
      <c r="D102" s="399"/>
      <c r="E102" s="400"/>
      <c r="F102" s="1043"/>
      <c r="G102" s="1044" t="s">
        <v>269</v>
      </c>
      <c r="H102" s="128"/>
      <c r="I102" s="129"/>
      <c r="J102" s="400"/>
      <c r="K102" s="129"/>
      <c r="L102" s="1045"/>
      <c r="M102" s="132"/>
      <c r="N102" s="132"/>
      <c r="O102" s="399"/>
      <c r="P102" s="814">
        <f>+Pastor!Q16</f>
        <v>78499</v>
      </c>
      <c r="Q102" s="814">
        <f>+Pastor!K16</f>
        <v>74510</v>
      </c>
      <c r="R102" s="403">
        <f>+P102-Q102</f>
        <v>3989</v>
      </c>
      <c r="S102" s="404">
        <f>IF(Q102=0,"NA",(+P102-Q102)/Q102)</f>
        <v>5.3536438062005101E-2</v>
      </c>
      <c r="T102" s="398"/>
      <c r="U102" s="402">
        <f>43758.4+18363.62</f>
        <v>62122.020000000004</v>
      </c>
      <c r="V102" s="402">
        <f>43758.3+18333.3</f>
        <v>62091.600000000006</v>
      </c>
      <c r="W102" s="404">
        <f>IF(V102=0,"NA",(+U102-V102)/V102)</f>
        <v>4.8992134201724952E-4</v>
      </c>
      <c r="X102" s="1046" t="s">
        <v>609</v>
      </c>
      <c r="Y102" s="58"/>
    </row>
    <row r="103" spans="1:37" ht="14.5" customHeight="1">
      <c r="A103" s="43">
        <v>81</v>
      </c>
      <c r="D103" s="1"/>
      <c r="E103" s="1"/>
      <c r="F103" s="1"/>
      <c r="G103" s="1"/>
      <c r="H103" s="1"/>
      <c r="I103" s="1"/>
      <c r="J103" s="1"/>
      <c r="K103" s="1"/>
      <c r="L103" s="1"/>
      <c r="M103" s="1"/>
      <c r="N103" s="1"/>
      <c r="W103" s="1"/>
      <c r="X103" s="1047"/>
      <c r="Y103" s="62" t="s">
        <v>132</v>
      </c>
    </row>
    <row r="104" spans="1:37">
      <c r="A104" s="43">
        <v>82</v>
      </c>
      <c r="C104" s="238" t="s">
        <v>40</v>
      </c>
      <c r="D104" s="248"/>
      <c r="E104" s="249"/>
      <c r="F104" s="265" t="s">
        <v>270</v>
      </c>
      <c r="G104" s="266">
        <f>+(Pastor!I11+P148+P151+P157)-(Pastor!G11+Q148+Q151+Q157)</f>
        <v>-14791</v>
      </c>
      <c r="H104" s="267" t="s">
        <v>310</v>
      </c>
      <c r="I104" s="268"/>
      <c r="J104" s="249"/>
      <c r="K104" s="269"/>
      <c r="L104" s="249"/>
      <c r="M104" s="270"/>
      <c r="N104" s="270"/>
      <c r="O104" s="271"/>
      <c r="P104" s="272">
        <f>+Pastor!Q56</f>
        <v>1500</v>
      </c>
      <c r="Q104" s="272">
        <f>+Pastor!K56</f>
        <v>1500</v>
      </c>
      <c r="R104" s="236">
        <f t="shared" ref="R103:R112" si="24">+P104-Q104</f>
        <v>0</v>
      </c>
      <c r="S104" s="237">
        <f t="shared" ref="S103:S113" si="25">IF(Q104=0,"NA",(+P104-Q104)/Q104)</f>
        <v>0</v>
      </c>
      <c r="T104" s="238"/>
      <c r="U104" s="235">
        <v>0</v>
      </c>
      <c r="V104" s="235">
        <v>1250</v>
      </c>
      <c r="W104" s="237">
        <f t="shared" ref="W103:W113" si="26">IF(V104=0,"NA",(+U104-V104)/V104)</f>
        <v>-1</v>
      </c>
      <c r="X104" s="239" t="s">
        <v>168</v>
      </c>
      <c r="Y104" s="62"/>
    </row>
    <row r="105" spans="1:37" ht="14.5" customHeight="1">
      <c r="C105" s="238" t="s">
        <v>305</v>
      </c>
      <c r="D105" s="248"/>
      <c r="E105" s="249"/>
      <c r="F105" s="265" t="s">
        <v>271</v>
      </c>
      <c r="G105" s="266">
        <f>(+P133+P141+P143+P144)-(Q133+Q141+Q143+Q144)</f>
        <v>-5724</v>
      </c>
      <c r="H105" s="249"/>
      <c r="I105" s="249"/>
      <c r="J105" s="267"/>
      <c r="K105" s="249"/>
      <c r="L105" s="249"/>
      <c r="M105" s="249"/>
      <c r="N105" s="249"/>
      <c r="O105" s="271"/>
      <c r="P105" s="272">
        <f>+Pastor!Q19</f>
        <v>6005</v>
      </c>
      <c r="Q105" s="279">
        <f>+Pastor!K19</f>
        <v>5700</v>
      </c>
      <c r="R105" s="236">
        <f t="shared" si="24"/>
        <v>305</v>
      </c>
      <c r="S105" s="237">
        <f>IF(Q105=0,"NA",(+P105-Q105)/Q105)</f>
        <v>5.3508771929824561E-2</v>
      </c>
      <c r="T105" s="238"/>
      <c r="U105" s="235">
        <v>4750</v>
      </c>
      <c r="V105" s="235">
        <v>4750</v>
      </c>
      <c r="W105" s="237">
        <f>IF(V105=0,"NA",(+U105-V105)/V105)</f>
        <v>0</v>
      </c>
      <c r="X105" s="239" t="s">
        <v>219</v>
      </c>
      <c r="Y105" s="62"/>
    </row>
    <row r="106" spans="1:37" ht="43.5" hidden="1">
      <c r="C106" s="877" t="s">
        <v>174</v>
      </c>
      <c r="D106" s="877"/>
      <c r="E106" s="273"/>
      <c r="F106" s="274" t="s">
        <v>217</v>
      </c>
      <c r="G106" s="275">
        <f>+G104+G105</f>
        <v>-20515</v>
      </c>
      <c r="H106" s="276"/>
      <c r="I106" s="272"/>
      <c r="J106" s="277"/>
      <c r="K106" s="249"/>
      <c r="L106" s="884"/>
      <c r="M106" s="884"/>
      <c r="N106" s="884"/>
      <c r="O106" s="884"/>
      <c r="P106" s="256">
        <v>0</v>
      </c>
      <c r="Q106" s="256">
        <v>0</v>
      </c>
      <c r="R106" s="236">
        <f>+P106-Q106</f>
        <v>0</v>
      </c>
      <c r="S106" s="237" t="str">
        <f>IF(Q106=0,"NA",(+P106-Q106)/Q106)</f>
        <v>NA</v>
      </c>
      <c r="T106" s="238"/>
      <c r="U106" s="235">
        <v>0</v>
      </c>
      <c r="V106" s="235">
        <v>0</v>
      </c>
      <c r="W106" s="237" t="str">
        <f>IF(V106=0,"NA",(+U106-V106)/V106)</f>
        <v>NA</v>
      </c>
      <c r="X106" s="239" t="s">
        <v>201</v>
      </c>
      <c r="Y106" s="62"/>
      <c r="Z106" s="1">
        <v>14003</v>
      </c>
    </row>
    <row r="107" spans="1:37" ht="14" customHeight="1">
      <c r="C107" s="238" t="s">
        <v>170</v>
      </c>
      <c r="D107" s="248"/>
      <c r="E107" s="249"/>
      <c r="F107" s="277"/>
      <c r="G107" s="249"/>
      <c r="H107" s="278"/>
      <c r="I107" s="249"/>
      <c r="J107" s="249"/>
      <c r="K107" s="249"/>
      <c r="L107" s="249"/>
      <c r="M107" s="249"/>
      <c r="N107" s="249"/>
      <c r="O107" s="279"/>
      <c r="P107" s="272">
        <f>+Pastor!Q42</f>
        <v>19013</v>
      </c>
      <c r="Q107" s="272">
        <f>+Pastor!K39</f>
        <v>16544</v>
      </c>
      <c r="R107" s="236">
        <f>+P107-Q107</f>
        <v>2469</v>
      </c>
      <c r="S107" s="237">
        <f>IF(Q107=0,"NA",(+P107-Q107)/Q107)</f>
        <v>0.14923839458413926</v>
      </c>
      <c r="T107" s="238"/>
      <c r="U107" s="235">
        <v>13702.5</v>
      </c>
      <c r="V107" s="256">
        <v>13786.7</v>
      </c>
      <c r="W107" s="237">
        <f>IF(V107=0,"NA",(+U107-V107)/V107)</f>
        <v>-6.1073353304272032E-3</v>
      </c>
      <c r="X107" s="239"/>
      <c r="Y107" s="66" t="s">
        <v>144</v>
      </c>
      <c r="Z107" s="2"/>
    </row>
    <row r="108" spans="1:37" ht="14.4" hidden="1" customHeight="1">
      <c r="C108" s="238" t="s">
        <v>172</v>
      </c>
      <c r="D108" s="248"/>
      <c r="E108" s="249"/>
      <c r="F108" s="249"/>
      <c r="G108" s="249"/>
      <c r="H108" s="280"/>
      <c r="I108" s="249"/>
      <c r="J108" s="249"/>
      <c r="K108" s="249"/>
      <c r="L108" s="249"/>
      <c r="M108" s="249"/>
      <c r="N108" s="249"/>
      <c r="O108" s="281"/>
      <c r="P108" s="272">
        <v>0</v>
      </c>
      <c r="Q108" s="256">
        <v>0</v>
      </c>
      <c r="R108" s="236">
        <f>+P108-Q108</f>
        <v>0</v>
      </c>
      <c r="S108" s="237" t="str">
        <f>IF(Q108=0,"NA",(+P108-Q108)/Q108)</f>
        <v>NA</v>
      </c>
      <c r="T108" s="238"/>
      <c r="U108" s="235">
        <v>0</v>
      </c>
      <c r="V108" s="256">
        <v>0</v>
      </c>
      <c r="W108" s="237" t="str">
        <f>IF(V108=0,"NA",(+U108-V108)/V108)</f>
        <v>NA</v>
      </c>
      <c r="X108" s="239" t="s">
        <v>314</v>
      </c>
      <c r="Y108" s="66" t="s">
        <v>144</v>
      </c>
      <c r="Z108" s="1">
        <v>2342</v>
      </c>
    </row>
    <row r="109" spans="1:37" ht="14.4" customHeight="1">
      <c r="A109" s="43">
        <v>83</v>
      </c>
      <c r="C109" s="238" t="s">
        <v>171</v>
      </c>
      <c r="D109" s="248"/>
      <c r="E109" s="270"/>
      <c r="F109" s="280"/>
      <c r="G109" s="270"/>
      <c r="H109" s="280"/>
      <c r="I109" s="270"/>
      <c r="J109" s="280"/>
      <c r="K109" s="283"/>
      <c r="L109" s="249"/>
      <c r="M109" s="249"/>
      <c r="N109" s="249"/>
      <c r="O109" s="279"/>
      <c r="P109" s="272">
        <f>+Pastor!Q53</f>
        <v>1859</v>
      </c>
      <c r="Q109" s="272">
        <f>+Pastor!K53</f>
        <v>1765</v>
      </c>
      <c r="R109" s="236">
        <f t="shared" si="24"/>
        <v>94</v>
      </c>
      <c r="S109" s="237">
        <f t="shared" si="25"/>
        <v>5.3257790368271954E-2</v>
      </c>
      <c r="T109" s="238"/>
      <c r="U109" s="235">
        <v>1470.5</v>
      </c>
      <c r="V109" s="256">
        <v>1470.8</v>
      </c>
      <c r="W109" s="237">
        <f t="shared" si="26"/>
        <v>-2.0397062822950402E-4</v>
      </c>
      <c r="X109" s="282" t="s">
        <v>176</v>
      </c>
      <c r="Y109" s="66" t="s">
        <v>144</v>
      </c>
    </row>
    <row r="110" spans="1:37">
      <c r="C110" s="238" t="s">
        <v>107</v>
      </c>
      <c r="D110" s="248"/>
      <c r="E110" s="249"/>
      <c r="F110" s="249"/>
      <c r="G110" s="249"/>
      <c r="H110" s="249"/>
      <c r="I110" s="249"/>
      <c r="J110" s="249"/>
      <c r="K110" s="249"/>
      <c r="L110" s="249"/>
      <c r="M110" s="249"/>
      <c r="N110" s="249"/>
      <c r="O110" s="279"/>
      <c r="P110" s="272">
        <f>+Pastor!Q59</f>
        <v>600</v>
      </c>
      <c r="Q110" s="279">
        <f>+Pastor!K59</f>
        <v>600</v>
      </c>
      <c r="R110" s="236">
        <f t="shared" si="24"/>
        <v>0</v>
      </c>
      <c r="S110" s="237">
        <f>IF(Q110=0,"NA",(+P110-Q110)/Q110)</f>
        <v>0</v>
      </c>
      <c r="T110" s="238"/>
      <c r="U110" s="235">
        <v>344.7</v>
      </c>
      <c r="V110" s="235">
        <v>500</v>
      </c>
      <c r="W110" s="237">
        <f>IF(V110=0,"NA",(+U110-V110)/V110)</f>
        <v>-0.31060000000000004</v>
      </c>
      <c r="X110" s="239" t="s">
        <v>169</v>
      </c>
      <c r="Y110" s="62"/>
    </row>
    <row r="111" spans="1:37">
      <c r="C111" s="238" t="s">
        <v>212</v>
      </c>
      <c r="D111" s="248"/>
      <c r="E111" s="249"/>
      <c r="F111" s="250"/>
      <c r="G111" s="250"/>
      <c r="H111" s="250"/>
      <c r="I111" s="250"/>
      <c r="J111" s="250"/>
      <c r="K111" s="250"/>
      <c r="L111" s="250"/>
      <c r="M111" s="250"/>
      <c r="N111" s="250"/>
      <c r="O111" s="284"/>
      <c r="P111" s="272">
        <f>+Pastor!Q60</f>
        <v>480</v>
      </c>
      <c r="Q111" s="279">
        <f>+Pastor!K60</f>
        <v>480</v>
      </c>
      <c r="R111" s="236">
        <f>+P111-Q111</f>
        <v>0</v>
      </c>
      <c r="S111" s="237">
        <f>IF(Q111=0,"NA",(+P111-Q111)/Q111)</f>
        <v>0</v>
      </c>
      <c r="T111" s="238"/>
      <c r="U111" s="235">
        <v>360</v>
      </c>
      <c r="V111" s="235">
        <v>360</v>
      </c>
      <c r="W111" s="237">
        <f>IF(V111=0,"NA",(+U111-V111)/V111)</f>
        <v>0</v>
      </c>
      <c r="X111" s="239" t="s">
        <v>221</v>
      </c>
      <c r="Y111" s="62"/>
    </row>
    <row r="112" spans="1:37">
      <c r="A112" s="43">
        <v>85</v>
      </c>
      <c r="C112" s="243" t="s">
        <v>41</v>
      </c>
      <c r="D112" s="251"/>
      <c r="E112" s="252"/>
      <c r="F112" s="253"/>
      <c r="G112" s="253"/>
      <c r="H112" s="253"/>
      <c r="I112" s="253"/>
      <c r="J112" s="253"/>
      <c r="K112" s="253"/>
      <c r="L112" s="253"/>
      <c r="M112" s="253"/>
      <c r="N112" s="253"/>
      <c r="O112" s="285"/>
      <c r="P112" s="286">
        <f>+Pastor!Q57</f>
        <v>1300</v>
      </c>
      <c r="Q112" s="394">
        <f>+Pastor!K57</f>
        <v>1000</v>
      </c>
      <c r="R112" s="241">
        <f t="shared" si="24"/>
        <v>300</v>
      </c>
      <c r="S112" s="242">
        <f t="shared" si="25"/>
        <v>0.3</v>
      </c>
      <c r="T112" s="243"/>
      <c r="U112" s="240">
        <v>590.48</v>
      </c>
      <c r="V112" s="240">
        <v>833.3</v>
      </c>
      <c r="W112" s="242">
        <f t="shared" si="26"/>
        <v>-0.291395655826233</v>
      </c>
      <c r="X112" s="244" t="s">
        <v>610</v>
      </c>
      <c r="Y112" s="62"/>
      <c r="AD112" s="388">
        <v>0.4</v>
      </c>
      <c r="AE112" s="388">
        <v>0.15</v>
      </c>
      <c r="AF112" s="388">
        <v>0.4</v>
      </c>
      <c r="AG112" s="388">
        <v>0.05</v>
      </c>
      <c r="AH112" s="35">
        <f>+AD112</f>
        <v>0.4</v>
      </c>
      <c r="AI112" s="35">
        <f>+AE112</f>
        <v>0.15</v>
      </c>
      <c r="AJ112" s="35">
        <f>+AF112</f>
        <v>0.4</v>
      </c>
      <c r="AK112" s="35">
        <f>+AG112</f>
        <v>0.05</v>
      </c>
    </row>
    <row r="113" spans="1:37" s="2" customFormat="1">
      <c r="A113" s="43">
        <v>86</v>
      </c>
      <c r="B113" s="24" t="s">
        <v>153</v>
      </c>
      <c r="C113" s="24"/>
      <c r="D113" s="24"/>
      <c r="E113" s="88"/>
      <c r="F113" s="88"/>
      <c r="G113" s="88"/>
      <c r="H113" s="88"/>
      <c r="I113" s="88"/>
      <c r="J113" s="88"/>
      <c r="K113" s="88"/>
      <c r="L113" s="88"/>
      <c r="M113" s="88"/>
      <c r="N113" s="88"/>
      <c r="O113" s="24"/>
      <c r="P113" s="24">
        <f>SUM(P102:P112)</f>
        <v>109256</v>
      </c>
      <c r="Q113" s="24">
        <f>SUM(Q102:Q112)</f>
        <v>102099</v>
      </c>
      <c r="R113" s="24">
        <f>SUM(R102:R112)</f>
        <v>7157</v>
      </c>
      <c r="S113" s="25">
        <f t="shared" si="25"/>
        <v>7.0098629761310108E-2</v>
      </c>
      <c r="U113" s="24">
        <f>SUM(U102:U112)</f>
        <v>83340.2</v>
      </c>
      <c r="V113" s="24">
        <f>SUM(V102:V112)</f>
        <v>85042.400000000009</v>
      </c>
      <c r="W113" s="25">
        <f t="shared" si="26"/>
        <v>-2.0015897952080509E-2</v>
      </c>
      <c r="X113" s="74"/>
      <c r="Y113" s="61"/>
      <c r="Z113" s="1"/>
      <c r="AD113" s="2">
        <f>+$P113*AD112</f>
        <v>43702.400000000001</v>
      </c>
      <c r="AE113" s="2">
        <f t="shared" ref="AE113:AG113" si="27">+$P113*AE112</f>
        <v>16388.399999999998</v>
      </c>
      <c r="AF113" s="2">
        <f t="shared" si="27"/>
        <v>43702.400000000001</v>
      </c>
      <c r="AG113" s="2">
        <f t="shared" si="27"/>
        <v>5462.8</v>
      </c>
      <c r="AH113" s="2">
        <f>+U113*AH112</f>
        <v>33336.080000000002</v>
      </c>
      <c r="AI113" s="2">
        <f>+U113*AI112</f>
        <v>12501.029999999999</v>
      </c>
      <c r="AJ113" s="2">
        <f>+U113*AJ112</f>
        <v>33336.080000000002</v>
      </c>
      <c r="AK113" s="2">
        <f>+V113*AK112</f>
        <v>4252.1200000000008</v>
      </c>
    </row>
    <row r="114" spans="1:37" ht="6.75" customHeight="1">
      <c r="A114" s="43">
        <v>87</v>
      </c>
      <c r="S114" s="5"/>
      <c r="X114" s="73"/>
      <c r="Y114" s="59"/>
    </row>
    <row r="115" spans="1:37" ht="15" customHeight="1">
      <c r="A115" s="43">
        <v>80</v>
      </c>
      <c r="B115" s="2" t="s">
        <v>302</v>
      </c>
      <c r="D115" s="50" t="s">
        <v>386</v>
      </c>
      <c r="F115" s="439"/>
      <c r="G115" s="878"/>
      <c r="H115" s="878"/>
      <c r="R115" s="124"/>
      <c r="S115" s="39"/>
      <c r="U115" s="125"/>
      <c r="V115" s="35"/>
      <c r="W115" s="39"/>
      <c r="X115" s="62"/>
      <c r="Y115" s="58"/>
    </row>
    <row r="116" spans="1:37" ht="14.5" customHeight="1">
      <c r="A116" s="43">
        <v>81</v>
      </c>
      <c r="C116" s="233" t="s">
        <v>177</v>
      </c>
      <c r="D116" s="245"/>
      <c r="E116" s="246"/>
      <c r="F116" s="259"/>
      <c r="G116" s="350"/>
      <c r="H116" s="260"/>
      <c r="I116" s="261"/>
      <c r="J116" s="246"/>
      <c r="K116" s="261"/>
      <c r="L116" s="262"/>
      <c r="M116" s="263"/>
      <c r="N116" s="263"/>
      <c r="O116" s="245"/>
      <c r="P116" s="264">
        <f>+'Assoc. Pastor'!I15</f>
        <v>66953</v>
      </c>
      <c r="Q116" s="264">
        <f>+'Assoc. Pastor'!E15</f>
        <v>65087</v>
      </c>
      <c r="R116" s="231">
        <f t="shared" ref="R116:R118" si="28">+P116-Q116</f>
        <v>1866</v>
      </c>
      <c r="S116" s="232">
        <f t="shared" ref="S116:S117" si="29">IF(Q116=0,"NA",(+P116-Q116)/Q116)</f>
        <v>2.866931952617266E-2</v>
      </c>
      <c r="T116" s="233"/>
      <c r="U116" s="230">
        <f>37572.6+16666.8</f>
        <v>54239.399999999994</v>
      </c>
      <c r="V116" s="230">
        <f>37572.5+16666.7</f>
        <v>54239.199999999997</v>
      </c>
      <c r="W116" s="232">
        <f t="shared" ref="W116:W117" si="30">IF(V116=0,"NA",(+U116-V116)/V116)</f>
        <v>3.6873700201531297E-6</v>
      </c>
      <c r="X116" s="808" t="s">
        <v>611</v>
      </c>
      <c r="Y116" s="62" t="s">
        <v>132</v>
      </c>
    </row>
    <row r="117" spans="1:37">
      <c r="A117" s="43">
        <v>82</v>
      </c>
      <c r="C117" s="238" t="s">
        <v>40</v>
      </c>
      <c r="D117" s="248"/>
      <c r="E117" s="249"/>
      <c r="F117" s="265"/>
      <c r="G117" s="266"/>
      <c r="H117" s="267"/>
      <c r="I117" s="268"/>
      <c r="J117" s="249"/>
      <c r="K117" s="269"/>
      <c r="L117" s="249"/>
      <c r="M117" s="270"/>
      <c r="N117" s="270"/>
      <c r="O117" s="271"/>
      <c r="P117" s="272">
        <f>+'Assoc. Pastor'!I48</f>
        <v>1200</v>
      </c>
      <c r="Q117" s="272">
        <f>+'Assoc. Pastor'!E48</f>
        <v>1200</v>
      </c>
      <c r="R117" s="236">
        <f t="shared" si="28"/>
        <v>0</v>
      </c>
      <c r="S117" s="237">
        <f t="shared" si="29"/>
        <v>0</v>
      </c>
      <c r="T117" s="238"/>
      <c r="U117" s="235">
        <v>0</v>
      </c>
      <c r="V117" s="235">
        <v>1000</v>
      </c>
      <c r="W117" s="237">
        <f t="shared" si="30"/>
        <v>-1</v>
      </c>
      <c r="X117" s="239" t="s">
        <v>168</v>
      </c>
      <c r="Y117" s="62"/>
    </row>
    <row r="118" spans="1:37" ht="14.5" customHeight="1">
      <c r="C118" s="238" t="s">
        <v>305</v>
      </c>
      <c r="D118" s="248"/>
      <c r="E118" s="249"/>
      <c r="F118" s="265"/>
      <c r="G118" s="266"/>
      <c r="H118" s="249"/>
      <c r="I118" s="249"/>
      <c r="J118" s="267"/>
      <c r="K118" s="249"/>
      <c r="L118" s="249"/>
      <c r="M118" s="249"/>
      <c r="N118" s="249"/>
      <c r="O118" s="271"/>
      <c r="P118" s="272">
        <f>+'Assoc. Pastor'!I19</f>
        <v>5122</v>
      </c>
      <c r="Q118" s="272">
        <f>+'Assoc. Pastor'!E19</f>
        <v>4979</v>
      </c>
      <c r="R118" s="236">
        <f t="shared" si="28"/>
        <v>143</v>
      </c>
      <c r="S118" s="237">
        <f>IF(Q118=0,"NA",(+P118-Q118)/Q118)</f>
        <v>2.8720626631853787E-2</v>
      </c>
      <c r="T118" s="238"/>
      <c r="U118" s="235">
        <v>4149.2</v>
      </c>
      <c r="V118" s="235">
        <v>4149.2</v>
      </c>
      <c r="W118" s="237">
        <f>IF(V118=0,"NA",(+U118-V118)/V118)</f>
        <v>0</v>
      </c>
      <c r="X118" s="239" t="s">
        <v>219</v>
      </c>
      <c r="Y118" s="62"/>
      <c r="AA118" s="431"/>
    </row>
    <row r="119" spans="1:37" ht="14" customHeight="1">
      <c r="C119" s="238" t="s">
        <v>170</v>
      </c>
      <c r="D119" s="248"/>
      <c r="E119" s="249"/>
      <c r="F119" s="277"/>
      <c r="G119" s="249"/>
      <c r="H119" s="278"/>
      <c r="I119" s="249"/>
      <c r="J119" s="249"/>
      <c r="K119" s="249"/>
      <c r="L119" s="249"/>
      <c r="M119" s="249"/>
      <c r="N119" s="249"/>
      <c r="O119" s="279"/>
      <c r="P119" s="272">
        <f>+'Assoc. Pastor'!I38</f>
        <v>11532</v>
      </c>
      <c r="Q119" s="272">
        <f>+'Assoc. Pastor'!E38</f>
        <v>11211</v>
      </c>
      <c r="R119" s="236">
        <f>+P119-Q119</f>
        <v>321</v>
      </c>
      <c r="S119" s="237">
        <f>IF(Q119=0,"NA",(+P119-Q119)/Q119)</f>
        <v>2.8632592989028632E-2</v>
      </c>
      <c r="T119" s="238"/>
      <c r="U119" s="235">
        <v>9342.1</v>
      </c>
      <c r="V119" s="256">
        <v>9342.5</v>
      </c>
      <c r="W119" s="237">
        <f>IF(V119=0,"NA",(+U119-V119)/V119)</f>
        <v>-4.2815092320003878E-5</v>
      </c>
      <c r="X119" s="239"/>
      <c r="Y119" s="66" t="s">
        <v>144</v>
      </c>
    </row>
    <row r="120" spans="1:37" ht="14.4" hidden="1" customHeight="1">
      <c r="C120" s="238" t="s">
        <v>307</v>
      </c>
      <c r="D120" s="248"/>
      <c r="E120" s="249"/>
      <c r="F120" s="249"/>
      <c r="G120" s="249"/>
      <c r="H120" s="280"/>
      <c r="I120" s="249"/>
      <c r="J120" s="249"/>
      <c r="K120" s="249"/>
      <c r="L120" s="249"/>
      <c r="M120" s="249"/>
      <c r="N120" s="249"/>
      <c r="O120" s="281"/>
      <c r="P120" s="256">
        <v>0</v>
      </c>
      <c r="Q120" s="256">
        <v>0</v>
      </c>
      <c r="R120" s="236">
        <f>+P120-Q120</f>
        <v>0</v>
      </c>
      <c r="S120" s="237" t="str">
        <f>IF(Q120=0,"NA",(+P120-Q120)/Q120)</f>
        <v>NA</v>
      </c>
      <c r="T120" s="238"/>
      <c r="U120" s="235">
        <v>0</v>
      </c>
      <c r="V120" s="256">
        <v>0</v>
      </c>
      <c r="W120" s="237" t="str">
        <f>IF(V120=0,"NA",(+U120-V120)/V120)</f>
        <v>NA</v>
      </c>
      <c r="X120" s="239" t="s">
        <v>387</v>
      </c>
      <c r="Y120" s="66"/>
      <c r="Z120" s="2"/>
    </row>
    <row r="121" spans="1:37" ht="14.4" customHeight="1">
      <c r="A121" s="43">
        <v>83</v>
      </c>
      <c r="C121" s="238" t="s">
        <v>171</v>
      </c>
      <c r="D121" s="248"/>
      <c r="E121" s="270"/>
      <c r="F121" s="280"/>
      <c r="G121" s="270"/>
      <c r="H121" s="280"/>
      <c r="I121" s="270"/>
      <c r="J121" s="280"/>
      <c r="K121" s="283"/>
      <c r="L121" s="249"/>
      <c r="M121" s="249"/>
      <c r="N121" s="249"/>
      <c r="O121" s="279"/>
      <c r="P121" s="272">
        <f>+'Assoc. Pastor'!I46</f>
        <v>1586</v>
      </c>
      <c r="Q121" s="272">
        <f>+'Assoc. Pastor'!E46</f>
        <v>1541</v>
      </c>
      <c r="R121" s="236">
        <f t="shared" ref="R121:R122" si="31">+P121-Q121</f>
        <v>45</v>
      </c>
      <c r="S121" s="237">
        <f t="shared" ref="S121" si="32">IF(Q121=0,"NA",(+P121-Q121)/Q121)</f>
        <v>2.9201817001946788E-2</v>
      </c>
      <c r="T121" s="238"/>
      <c r="U121" s="235">
        <v>1284.5</v>
      </c>
      <c r="V121" s="256">
        <v>1284.2</v>
      </c>
      <c r="W121" s="237">
        <f t="shared" ref="W121" si="33">IF(V121=0,"NA",(+U121-V121)/V121)</f>
        <v>2.3360847220055638E-4</v>
      </c>
      <c r="X121" s="282" t="s">
        <v>176</v>
      </c>
      <c r="Y121" s="66" t="s">
        <v>144</v>
      </c>
    </row>
    <row r="122" spans="1:37">
      <c r="C122" s="238" t="s">
        <v>107</v>
      </c>
      <c r="D122" s="248"/>
      <c r="E122" s="249"/>
      <c r="F122" s="249"/>
      <c r="G122" s="249"/>
      <c r="H122" s="249"/>
      <c r="I122" s="249"/>
      <c r="J122" s="249"/>
      <c r="K122" s="249"/>
      <c r="L122" s="249"/>
      <c r="M122" s="249"/>
      <c r="N122" s="249"/>
      <c r="O122" s="279"/>
      <c r="P122" s="272">
        <f>+'Assoc. Pastor'!I52</f>
        <v>600</v>
      </c>
      <c r="Q122" s="272">
        <f>+'Assoc. Pastor'!E52</f>
        <v>600</v>
      </c>
      <c r="R122" s="236">
        <f t="shared" si="31"/>
        <v>0</v>
      </c>
      <c r="S122" s="237">
        <f>IF(Q122=0,"NA",(+P122-Q122)/Q122)</f>
        <v>0</v>
      </c>
      <c r="T122" s="238"/>
      <c r="U122" s="235">
        <v>0</v>
      </c>
      <c r="V122" s="235">
        <v>500</v>
      </c>
      <c r="W122" s="237">
        <f>IF(V122=0,"NA",(+U122-V122)/V122)</f>
        <v>-1</v>
      </c>
      <c r="X122" s="239" t="s">
        <v>168</v>
      </c>
      <c r="Y122" s="62"/>
    </row>
    <row r="123" spans="1:37">
      <c r="C123" s="238" t="s">
        <v>212</v>
      </c>
      <c r="D123" s="248"/>
      <c r="E123" s="249"/>
      <c r="F123" s="250"/>
      <c r="G123" s="250"/>
      <c r="H123" s="250"/>
      <c r="I123" s="250"/>
      <c r="J123" s="250"/>
      <c r="K123" s="250"/>
      <c r="L123" s="250"/>
      <c r="M123" s="250"/>
      <c r="N123" s="250"/>
      <c r="O123" s="284"/>
      <c r="P123" s="272">
        <f>+'Assoc. Pastor'!I53</f>
        <v>480</v>
      </c>
      <c r="Q123" s="272">
        <f>+'Assoc. Pastor'!E53</f>
        <v>480</v>
      </c>
      <c r="R123" s="236">
        <f>+P123-Q123</f>
        <v>0</v>
      </c>
      <c r="S123" s="237">
        <f>IF(Q123=0,"NA",(+P123-Q123)/Q123)</f>
        <v>0</v>
      </c>
      <c r="T123" s="238"/>
      <c r="U123" s="235">
        <v>360</v>
      </c>
      <c r="V123" s="235">
        <v>360</v>
      </c>
      <c r="W123" s="237">
        <f>IF(V123=0,"NA",(+U123-V123)/V123)</f>
        <v>0</v>
      </c>
      <c r="X123" s="239" t="s">
        <v>221</v>
      </c>
      <c r="Y123" s="62"/>
    </row>
    <row r="124" spans="1:37">
      <c r="A124" s="43">
        <v>85</v>
      </c>
      <c r="C124" s="238" t="s">
        <v>41</v>
      </c>
      <c r="D124" s="248"/>
      <c r="E124" s="249"/>
      <c r="F124" s="250"/>
      <c r="G124" s="250"/>
      <c r="H124" s="250"/>
      <c r="I124" s="250"/>
      <c r="J124" s="250"/>
      <c r="K124" s="250"/>
      <c r="L124" s="250"/>
      <c r="M124" s="250"/>
      <c r="N124" s="250"/>
      <c r="O124" s="288"/>
      <c r="P124" s="272">
        <f>+'Assoc. Pastor'!I49</f>
        <v>1300</v>
      </c>
      <c r="Q124" s="272">
        <f>+'Assoc. Pastor'!E49</f>
        <v>1300</v>
      </c>
      <c r="R124" s="236">
        <f t="shared" ref="R124:R125" si="34">+P124-Q124</f>
        <v>0</v>
      </c>
      <c r="S124" s="237">
        <f t="shared" ref="S124:S126" si="35">IF(Q124=0,"NA",(+P124-Q124)/Q124)</f>
        <v>0</v>
      </c>
      <c r="T124" s="238"/>
      <c r="U124" s="235">
        <v>497</v>
      </c>
      <c r="V124" s="235">
        <v>1083.3</v>
      </c>
      <c r="W124" s="237">
        <f t="shared" ref="W124:W126" si="36">IF(V124=0,"NA",(+U124-V124)/V124)</f>
        <v>-0.5412166528200868</v>
      </c>
      <c r="X124" s="239" t="s">
        <v>168</v>
      </c>
      <c r="Y124" s="62"/>
      <c r="AD124" s="388">
        <v>0.4</v>
      </c>
      <c r="AE124" s="388">
        <v>0.4</v>
      </c>
      <c r="AF124" s="388">
        <v>0.2</v>
      </c>
      <c r="AH124" s="35">
        <f>+AD124</f>
        <v>0.4</v>
      </c>
      <c r="AI124" s="35">
        <f>+AE124</f>
        <v>0.4</v>
      </c>
      <c r="AJ124" s="35">
        <f>+AF124</f>
        <v>0.2</v>
      </c>
    </row>
    <row r="125" spans="1:37" hidden="1">
      <c r="C125" s="238" t="s">
        <v>301</v>
      </c>
      <c r="D125" s="248"/>
      <c r="E125" s="249"/>
      <c r="F125" s="250"/>
      <c r="G125" s="250"/>
      <c r="H125" s="250"/>
      <c r="I125" s="250"/>
      <c r="J125" s="250"/>
      <c r="K125" s="250"/>
      <c r="L125" s="250"/>
      <c r="M125" s="250"/>
      <c r="N125" s="250"/>
      <c r="O125" s="288"/>
      <c r="P125" s="272">
        <f>+'Assoc. Pastor'!I54</f>
        <v>0</v>
      </c>
      <c r="Q125" s="272">
        <f>+'Assoc. Pastor'!E54</f>
        <v>0</v>
      </c>
      <c r="R125" s="236">
        <f t="shared" si="34"/>
        <v>0</v>
      </c>
      <c r="S125" s="237" t="str">
        <f t="shared" si="35"/>
        <v>NA</v>
      </c>
      <c r="T125" s="238"/>
      <c r="U125" s="235">
        <v>0</v>
      </c>
      <c r="V125" s="235">
        <v>0</v>
      </c>
      <c r="W125" s="237" t="str">
        <f t="shared" ref="W125" si="37">IF(V125=0,"NA",(+U125-V125)/V125)</f>
        <v>NA</v>
      </c>
      <c r="X125" s="239" t="s">
        <v>388</v>
      </c>
      <c r="Y125" s="62"/>
      <c r="AD125" s="388"/>
      <c r="AE125" s="388"/>
      <c r="AF125" s="388"/>
      <c r="AH125" s="35"/>
      <c r="AI125" s="35"/>
      <c r="AJ125" s="35"/>
    </row>
    <row r="126" spans="1:37" s="2" customFormat="1">
      <c r="A126" s="43">
        <v>86</v>
      </c>
      <c r="B126" s="24" t="s">
        <v>303</v>
      </c>
      <c r="C126" s="24"/>
      <c r="D126" s="24"/>
      <c r="E126" s="88"/>
      <c r="F126" s="88"/>
      <c r="G126" s="88"/>
      <c r="H126" s="88"/>
      <c r="I126" s="88"/>
      <c r="J126" s="88"/>
      <c r="K126" s="88"/>
      <c r="L126" s="88"/>
      <c r="M126" s="88"/>
      <c r="N126" s="88"/>
      <c r="O126" s="24"/>
      <c r="P126" s="24">
        <f>SUM(P116:P125)</f>
        <v>88773</v>
      </c>
      <c r="Q126" s="24">
        <f>SUM(Q116:Q125)</f>
        <v>86398</v>
      </c>
      <c r="R126" s="24">
        <f>SUM(R116:R125)</f>
        <v>2375</v>
      </c>
      <c r="S126" s="25">
        <f t="shared" si="35"/>
        <v>2.7489062246811267E-2</v>
      </c>
      <c r="U126" s="24">
        <f>SUM(U116:U125)</f>
        <v>69872.2</v>
      </c>
      <c r="V126" s="24">
        <f>SUM(V116:V125)</f>
        <v>71958.399999999994</v>
      </c>
      <c r="W126" s="25">
        <f t="shared" si="36"/>
        <v>-2.8991750789344916E-2</v>
      </c>
      <c r="X126" s="74"/>
      <c r="Y126" s="61"/>
      <c r="Z126" s="1"/>
      <c r="AD126" s="2">
        <f>+$P126*AD124</f>
        <v>35509.200000000004</v>
      </c>
      <c r="AE126" s="2">
        <f t="shared" ref="AE126:AF126" si="38">+$P126*AE124</f>
        <v>35509.200000000004</v>
      </c>
      <c r="AF126" s="2">
        <f t="shared" si="38"/>
        <v>17754.600000000002</v>
      </c>
      <c r="AH126" s="2">
        <f>+U126*AH124</f>
        <v>27948.880000000001</v>
      </c>
      <c r="AI126" s="2">
        <f>+U126*AI124</f>
        <v>27948.880000000001</v>
      </c>
      <c r="AJ126" s="2">
        <f>+U126*AJ124</f>
        <v>13974.44</v>
      </c>
    </row>
    <row r="127" spans="1:37" ht="6.75" customHeight="1">
      <c r="S127" s="39"/>
      <c r="W127" s="39"/>
      <c r="X127" s="73"/>
      <c r="Y127" s="59"/>
    </row>
    <row r="128" spans="1:37">
      <c r="A128" s="43">
        <v>93</v>
      </c>
      <c r="B128" s="2" t="s">
        <v>504</v>
      </c>
      <c r="S128" s="5"/>
      <c r="X128" s="73"/>
      <c r="Y128" s="59"/>
    </row>
    <row r="129" spans="1:35" ht="30" customHeight="1">
      <c r="A129" s="43">
        <v>95</v>
      </c>
      <c r="C129" s="398" t="s">
        <v>44</v>
      </c>
      <c r="D129" s="399"/>
      <c r="E129" s="809">
        <v>2</v>
      </c>
      <c r="F129" s="1048">
        <f>ROUND(+J129*(1+H129),2)</f>
        <v>10</v>
      </c>
      <c r="G129" s="809">
        <v>40</v>
      </c>
      <c r="H129" s="1049">
        <v>0</v>
      </c>
      <c r="I129" s="809">
        <v>4</v>
      </c>
      <c r="J129" s="810">
        <v>10</v>
      </c>
      <c r="K129" s="809">
        <v>40</v>
      </c>
      <c r="L129" s="404">
        <f>IF(M129=0,0,(+J129-M129)/M129)</f>
        <v>0</v>
      </c>
      <c r="M129" s="812">
        <v>10</v>
      </c>
      <c r="N129" s="812"/>
      <c r="O129" s="398"/>
      <c r="P129" s="406">
        <v>800</v>
      </c>
      <c r="Q129" s="406">
        <v>800</v>
      </c>
      <c r="R129" s="403">
        <f>+P129-Q129</f>
        <v>0</v>
      </c>
      <c r="S129" s="404">
        <f>IF(Q129=0,"NA",(+P129-Q129)/Q129)</f>
        <v>0</v>
      </c>
      <c r="T129" s="398"/>
      <c r="U129" s="406">
        <v>151</v>
      </c>
      <c r="V129" s="402">
        <v>622.23</v>
      </c>
      <c r="W129" s="404">
        <f>IF(V129=0,"NA",(+U129-V129)/V129)</f>
        <v>-0.7573244620156534</v>
      </c>
      <c r="X129" s="1050" t="str">
        <f>Bud_Yr&amp;":  avg "&amp;E129&amp;" hrs/week at $"&amp;F129&amp;"/hr ("&amp;ROUND(H129*100,1)&amp;"% incr.) for "&amp;G129&amp;" wks (Sept-May, excluding Lent) x 2 people.  "&amp;Bud_Yr-1&amp;":  avg "&amp;I129&amp;" hrs/wk at $"&amp;J129&amp;"/hr ("&amp;ROUND(L129*100,1)&amp;"% incr.) for "&amp;K129&amp;" wks."</f>
        <v>2022:  avg 2 hrs/week at $10/hr (0% incr.) for 40 wks (Sept-May, excluding Lent) x 2 people.  2021:  avg 4 hrs/wk at $10/hr (0% incr.) for 40 wks.</v>
      </c>
      <c r="Y129" s="1" t="s">
        <v>120</v>
      </c>
      <c r="AE129" s="1">
        <f>+$P129</f>
        <v>800</v>
      </c>
      <c r="AI129" s="1">
        <f>+$U129</f>
        <v>151</v>
      </c>
    </row>
    <row r="130" spans="1:35" s="2" customFormat="1">
      <c r="A130" s="43">
        <v>96</v>
      </c>
      <c r="B130" s="24" t="s">
        <v>505</v>
      </c>
      <c r="C130" s="24"/>
      <c r="D130" s="24"/>
      <c r="E130" s="88"/>
      <c r="F130" s="88"/>
      <c r="G130" s="88"/>
      <c r="H130" s="88"/>
      <c r="I130" s="88"/>
      <c r="J130" s="88"/>
      <c r="K130" s="88"/>
      <c r="L130" s="88"/>
      <c r="M130" s="88"/>
      <c r="N130" s="88"/>
      <c r="O130" s="24"/>
      <c r="P130" s="24">
        <f>SUM(P129:P129)</f>
        <v>800</v>
      </c>
      <c r="Q130" s="24">
        <f>SUM(Q129:Q129)</f>
        <v>800</v>
      </c>
      <c r="R130" s="24">
        <f>SUM(R129:R129)</f>
        <v>0</v>
      </c>
      <c r="S130" s="25">
        <f>IF(Q130=0,"NA",(+P130-Q130)/Q130)</f>
        <v>0</v>
      </c>
      <c r="U130" s="24">
        <f>SUM(U129:U129)</f>
        <v>151</v>
      </c>
      <c r="V130" s="24">
        <f>SUM(V129:V129)</f>
        <v>622.23</v>
      </c>
      <c r="W130" s="25">
        <f>IF(V130=0,"NA",(+U130-V130)/V130)</f>
        <v>-0.7573244620156534</v>
      </c>
      <c r="X130" s="74"/>
      <c r="Y130" s="61"/>
      <c r="Z130" s="1"/>
    </row>
    <row r="131" spans="1:35" ht="6" customHeight="1">
      <c r="A131" s="43">
        <v>97</v>
      </c>
      <c r="S131" s="5"/>
      <c r="X131" s="73"/>
      <c r="Y131" s="59"/>
    </row>
    <row r="132" spans="1:35">
      <c r="A132" s="43">
        <v>107</v>
      </c>
      <c r="B132" s="2" t="s">
        <v>46</v>
      </c>
      <c r="S132" s="5"/>
      <c r="X132" s="73"/>
      <c r="Y132" s="59"/>
    </row>
    <row r="133" spans="1:35">
      <c r="A133" s="43">
        <v>108</v>
      </c>
      <c r="C133" s="398" t="s">
        <v>109</v>
      </c>
      <c r="D133" s="399"/>
      <c r="E133" s="400"/>
      <c r="F133" s="401"/>
      <c r="G133" s="401"/>
      <c r="H133" s="401"/>
      <c r="I133" s="401"/>
      <c r="J133" s="401"/>
      <c r="K133" s="401"/>
      <c r="L133" s="401"/>
      <c r="M133" s="401"/>
      <c r="N133" s="401"/>
      <c r="O133" s="813"/>
      <c r="P133" s="406">
        <f>ROUND(+Q133*(1+$F$100+0.025),0)</f>
        <v>16795</v>
      </c>
      <c r="Q133" s="402">
        <v>16385</v>
      </c>
      <c r="R133" s="403">
        <f t="shared" ref="R133:R144" si="39">+P133-Q133</f>
        <v>410</v>
      </c>
      <c r="S133" s="404">
        <f t="shared" ref="S133:S145" si="40">IF(Q133=0,"NA",(+P133-Q133)/Q133)</f>
        <v>2.5022886786695148E-2</v>
      </c>
      <c r="T133" s="398"/>
      <c r="U133" s="402">
        <v>13654.2</v>
      </c>
      <c r="V133" s="402">
        <v>13654.2</v>
      </c>
      <c r="W133" s="404">
        <f t="shared" ref="W133:W145" si="41">IF(V133=0,"NA",(+U133-V133)/V133)</f>
        <v>0</v>
      </c>
      <c r="X133" s="405" t="s">
        <v>327</v>
      </c>
      <c r="Y133" s="58" t="s">
        <v>145</v>
      </c>
      <c r="Z133" s="2"/>
      <c r="AD133" s="1">
        <f t="shared" ref="AD133:AE144" si="42">+$P133</f>
        <v>16795</v>
      </c>
      <c r="AH133" s="1">
        <f t="shared" ref="AH133:AI144" si="43">+$U133</f>
        <v>13654.2</v>
      </c>
    </row>
    <row r="134" spans="1:35">
      <c r="C134" s="233"/>
      <c r="D134" s="245"/>
      <c r="E134" s="246"/>
      <c r="F134" s="247"/>
      <c r="G134" s="247"/>
      <c r="H134" s="247"/>
      <c r="I134" s="247"/>
      <c r="J134" s="247"/>
      <c r="K134" s="247"/>
      <c r="L134" s="247"/>
      <c r="M134" s="247"/>
      <c r="N134" s="247"/>
      <c r="O134" s="287"/>
      <c r="P134" s="264"/>
      <c r="Q134" s="230"/>
      <c r="R134" s="231"/>
      <c r="S134" s="232"/>
      <c r="T134" s="233"/>
      <c r="U134" s="230"/>
      <c r="V134" s="230"/>
      <c r="W134" s="232"/>
      <c r="X134" s="808" t="s">
        <v>535</v>
      </c>
      <c r="Y134" s="58"/>
      <c r="Z134" s="2"/>
    </row>
    <row r="135" spans="1:35">
      <c r="C135" s="243" t="s">
        <v>224</v>
      </c>
      <c r="D135" s="251"/>
      <c r="E135" s="252"/>
      <c r="F135" s="253"/>
      <c r="G135" s="253"/>
      <c r="H135" s="253"/>
      <c r="I135" s="253"/>
      <c r="J135" s="253"/>
      <c r="K135" s="253"/>
      <c r="L135" s="253"/>
      <c r="M135" s="253"/>
      <c r="N135" s="253"/>
      <c r="O135" s="285"/>
      <c r="P135" s="286">
        <f>+'Band and Other Music'!P12</f>
        <v>3168</v>
      </c>
      <c r="Q135" s="241">
        <f>+'Band and Other Music'!E12</f>
        <v>3091</v>
      </c>
      <c r="R135" s="241">
        <f>+P135-Q135</f>
        <v>77</v>
      </c>
      <c r="S135" s="242">
        <f>IF(Q135=0,"NA",(+P135-Q135)/Q135)</f>
        <v>2.491103202846975E-2</v>
      </c>
      <c r="T135" s="243"/>
      <c r="U135" s="240">
        <v>2575.9</v>
      </c>
      <c r="V135" s="240">
        <v>2575.8000000000002</v>
      </c>
      <c r="W135" s="242">
        <f>IF(V135=0,"NA",(+U135-V135)/V135)</f>
        <v>3.8822889975894496E-5</v>
      </c>
      <c r="X135" s="244" t="s">
        <v>556</v>
      </c>
      <c r="Y135" s="58" t="s">
        <v>145</v>
      </c>
      <c r="AD135" s="1">
        <f t="shared" si="42"/>
        <v>3168</v>
      </c>
      <c r="AH135" s="1">
        <f t="shared" si="43"/>
        <v>2575.9</v>
      </c>
    </row>
    <row r="136" spans="1:35">
      <c r="C136" s="233"/>
      <c r="D136" s="245"/>
      <c r="E136" s="246"/>
      <c r="F136" s="247"/>
      <c r="G136" s="247"/>
      <c r="H136" s="247"/>
      <c r="I136" s="247"/>
      <c r="J136" s="247"/>
      <c r="K136" s="247"/>
      <c r="L136" s="247"/>
      <c r="M136" s="247"/>
      <c r="N136" s="247"/>
      <c r="O136" s="287"/>
      <c r="P136" s="264"/>
      <c r="Q136" s="231"/>
      <c r="R136" s="231"/>
      <c r="S136" s="232"/>
      <c r="T136" s="233"/>
      <c r="U136" s="230"/>
      <c r="V136" s="230"/>
      <c r="W136" s="232"/>
      <c r="X136" s="808" t="s">
        <v>535</v>
      </c>
      <c r="Y136" s="58"/>
    </row>
    <row r="137" spans="1:35">
      <c r="A137" s="43">
        <v>109</v>
      </c>
      <c r="C137" s="238" t="s">
        <v>47</v>
      </c>
      <c r="D137" s="248"/>
      <c r="E137" s="249"/>
      <c r="F137" s="250"/>
      <c r="G137" s="250"/>
      <c r="H137" s="250"/>
      <c r="I137" s="250"/>
      <c r="J137" s="250"/>
      <c r="K137" s="250"/>
      <c r="L137" s="250"/>
      <c r="M137" s="250"/>
      <c r="N137" s="250"/>
      <c r="O137" s="288"/>
      <c r="P137" s="235">
        <v>500</v>
      </c>
      <c r="Q137" s="235">
        <v>500</v>
      </c>
      <c r="R137" s="236">
        <f t="shared" si="39"/>
        <v>0</v>
      </c>
      <c r="S137" s="237">
        <f t="shared" si="40"/>
        <v>0</v>
      </c>
      <c r="T137" s="238"/>
      <c r="U137" s="235">
        <v>0</v>
      </c>
      <c r="V137" s="235">
        <v>416.7</v>
      </c>
      <c r="W137" s="237">
        <f t="shared" si="41"/>
        <v>-1</v>
      </c>
      <c r="X137" s="289"/>
      <c r="Y137" s="58" t="s">
        <v>148</v>
      </c>
      <c r="AD137" s="1">
        <f t="shared" si="42"/>
        <v>500</v>
      </c>
      <c r="AH137" s="1">
        <f t="shared" si="43"/>
        <v>0</v>
      </c>
    </row>
    <row r="138" spans="1:35" ht="28.5" customHeight="1">
      <c r="A138" s="43">
        <v>110</v>
      </c>
      <c r="C138" s="238" t="s">
        <v>48</v>
      </c>
      <c r="D138" s="248"/>
      <c r="E138" s="249"/>
      <c r="F138" s="250"/>
      <c r="G138" s="250"/>
      <c r="H138" s="250"/>
      <c r="I138" s="250"/>
      <c r="J138" s="250"/>
      <c r="K138" s="250"/>
      <c r="L138" s="250"/>
      <c r="M138" s="250"/>
      <c r="N138" s="250"/>
      <c r="O138" s="288"/>
      <c r="P138" s="272">
        <f>+'Band and Other Music'!P29</f>
        <v>13385</v>
      </c>
      <c r="Q138" s="231">
        <f>+'Band and Other Music'!E29</f>
        <v>13800</v>
      </c>
      <c r="R138" s="236">
        <f t="shared" si="39"/>
        <v>-415</v>
      </c>
      <c r="S138" s="237">
        <f t="shared" si="40"/>
        <v>-3.0072463768115943E-2</v>
      </c>
      <c r="T138" s="238"/>
      <c r="U138" s="235">
        <v>3515</v>
      </c>
      <c r="V138" s="235">
        <v>10733.31</v>
      </c>
      <c r="W138" s="237">
        <f t="shared" si="41"/>
        <v>-0.67251481602599761</v>
      </c>
      <c r="X138" s="645" t="s">
        <v>612</v>
      </c>
      <c r="Y138" s="58" t="s">
        <v>147</v>
      </c>
      <c r="AD138" s="1">
        <f t="shared" si="42"/>
        <v>13385</v>
      </c>
      <c r="AH138" s="1">
        <f t="shared" si="43"/>
        <v>3515</v>
      </c>
    </row>
    <row r="139" spans="1:35" ht="29">
      <c r="A139" s="43">
        <v>110</v>
      </c>
      <c r="C139" s="877" t="s">
        <v>508</v>
      </c>
      <c r="D139" s="877"/>
      <c r="E139" s="249"/>
      <c r="F139" s="250"/>
      <c r="G139" s="250"/>
      <c r="H139" s="250"/>
      <c r="I139" s="250"/>
      <c r="J139" s="250"/>
      <c r="K139" s="250"/>
      <c r="L139" s="250"/>
      <c r="M139" s="250"/>
      <c r="N139" s="250"/>
      <c r="O139" s="288"/>
      <c r="P139" s="272">
        <f>+'Band and Other Music'!P52</f>
        <v>3000</v>
      </c>
      <c r="Q139" s="231">
        <f>+'Band and Other Music'!E52</f>
        <v>3000</v>
      </c>
      <c r="R139" s="236">
        <f>+P139-Q139</f>
        <v>0</v>
      </c>
      <c r="S139" s="237">
        <f>IF(Q139=0,"NA",(+P139-Q139)/Q139)</f>
        <v>0</v>
      </c>
      <c r="T139" s="238"/>
      <c r="U139" s="235">
        <v>300</v>
      </c>
      <c r="V139" s="235">
        <v>3000</v>
      </c>
      <c r="W139" s="237">
        <f>IF(V139=0,"NA",(+U139-V139)/V139)</f>
        <v>-0.9</v>
      </c>
      <c r="X139" s="239"/>
      <c r="Y139" s="58" t="s">
        <v>147</v>
      </c>
      <c r="AD139" s="1">
        <f t="shared" si="42"/>
        <v>3000</v>
      </c>
      <c r="AH139" s="1">
        <f t="shared" si="43"/>
        <v>300</v>
      </c>
    </row>
    <row r="140" spans="1:35">
      <c r="C140" s="238" t="s">
        <v>536</v>
      </c>
      <c r="D140" s="248"/>
      <c r="E140" s="249"/>
      <c r="F140" s="250"/>
      <c r="G140" s="250"/>
      <c r="H140" s="250"/>
      <c r="I140" s="250"/>
      <c r="J140" s="250"/>
      <c r="K140" s="250"/>
      <c r="L140" s="250"/>
      <c r="M140" s="250"/>
      <c r="N140" s="250"/>
      <c r="O140" s="288"/>
      <c r="P140" s="272">
        <f>+'Band and Other Music'!P41</f>
        <v>5750</v>
      </c>
      <c r="Q140" s="231">
        <f>+'Band and Other Music'!E41</f>
        <v>3375</v>
      </c>
      <c r="R140" s="236">
        <f>+P140-Q140</f>
        <v>2375</v>
      </c>
      <c r="S140" s="237">
        <f>IF(Q140=0,"NA",(+P140-Q140)/Q140)</f>
        <v>0.70370370370370372</v>
      </c>
      <c r="T140" s="238"/>
      <c r="U140" s="235">
        <v>0</v>
      </c>
      <c r="V140" s="235">
        <v>2812.5</v>
      </c>
      <c r="W140" s="237">
        <f>IF(V140=0,"NA",(+U140-V140)/V140)</f>
        <v>-1</v>
      </c>
      <c r="X140" s="819" t="s">
        <v>537</v>
      </c>
      <c r="Y140" s="58"/>
      <c r="AD140" s="1">
        <f t="shared" si="42"/>
        <v>5750</v>
      </c>
      <c r="AH140" s="1">
        <f t="shared" si="43"/>
        <v>0</v>
      </c>
    </row>
    <row r="141" spans="1:35">
      <c r="A141" s="43">
        <v>111</v>
      </c>
      <c r="C141" s="243" t="s">
        <v>49</v>
      </c>
      <c r="D141" s="251"/>
      <c r="E141" s="252"/>
      <c r="F141" s="253"/>
      <c r="G141" s="253"/>
      <c r="H141" s="253"/>
      <c r="I141" s="253"/>
      <c r="J141" s="253"/>
      <c r="K141" s="253"/>
      <c r="L141" s="253"/>
      <c r="M141" s="253"/>
      <c r="N141" s="253"/>
      <c r="O141" s="285"/>
      <c r="P141" s="257">
        <v>3000</v>
      </c>
      <c r="Q141" s="240">
        <v>7634</v>
      </c>
      <c r="R141" s="241">
        <f t="shared" si="39"/>
        <v>-4634</v>
      </c>
      <c r="S141" s="242">
        <f t="shared" si="40"/>
        <v>-0.60702122085407384</v>
      </c>
      <c r="T141" s="243"/>
      <c r="U141" s="240">
        <v>0</v>
      </c>
      <c r="V141" s="240">
        <v>6107.2</v>
      </c>
      <c r="W141" s="242">
        <f t="shared" si="41"/>
        <v>-1</v>
      </c>
      <c r="X141" s="644" t="s">
        <v>538</v>
      </c>
      <c r="Y141" s="58" t="s">
        <v>146</v>
      </c>
      <c r="Z141" s="2"/>
      <c r="AD141" s="1">
        <f t="shared" si="42"/>
        <v>3000</v>
      </c>
      <c r="AH141" s="1">
        <f t="shared" si="43"/>
        <v>0</v>
      </c>
    </row>
    <row r="142" spans="1:35">
      <c r="C142" s="233"/>
      <c r="D142" s="245"/>
      <c r="E142" s="246"/>
      <c r="F142" s="247"/>
      <c r="G142" s="247"/>
      <c r="H142" s="247"/>
      <c r="I142" s="247"/>
      <c r="J142" s="247"/>
      <c r="K142" s="247"/>
      <c r="L142" s="247"/>
      <c r="M142" s="247"/>
      <c r="N142" s="247"/>
      <c r="O142" s="287"/>
      <c r="P142" s="264"/>
      <c r="Q142" s="230"/>
      <c r="R142" s="231"/>
      <c r="S142" s="232"/>
      <c r="T142" s="233"/>
      <c r="U142" s="230"/>
      <c r="V142" s="230"/>
      <c r="W142" s="232"/>
      <c r="X142" s="234" t="s">
        <v>557</v>
      </c>
      <c r="Y142" s="58"/>
      <c r="Z142" s="2"/>
    </row>
    <row r="143" spans="1:35">
      <c r="A143" s="43">
        <v>112</v>
      </c>
      <c r="C143" s="238" t="s">
        <v>50</v>
      </c>
      <c r="D143" s="248"/>
      <c r="E143" s="882" t="s">
        <v>160</v>
      </c>
      <c r="F143" s="883"/>
      <c r="G143" s="883"/>
      <c r="H143" s="883"/>
      <c r="I143" s="883"/>
      <c r="J143" s="883"/>
      <c r="K143" s="883"/>
      <c r="L143" s="883"/>
      <c r="M143" s="883"/>
      <c r="N143" s="883"/>
      <c r="O143" s="883"/>
      <c r="P143" s="256">
        <v>0</v>
      </c>
      <c r="Q143" s="235">
        <v>1500</v>
      </c>
      <c r="R143" s="236">
        <f t="shared" si="39"/>
        <v>-1500</v>
      </c>
      <c r="S143" s="237">
        <f t="shared" si="40"/>
        <v>-1</v>
      </c>
      <c r="T143" s="238"/>
      <c r="U143" s="235">
        <v>0</v>
      </c>
      <c r="V143" s="235">
        <v>1166.69</v>
      </c>
      <c r="W143" s="237">
        <f t="shared" si="41"/>
        <v>-1</v>
      </c>
      <c r="X143" s="239" t="s">
        <v>558</v>
      </c>
      <c r="Y143" s="58" t="s">
        <v>148</v>
      </c>
      <c r="AE143" s="1">
        <f t="shared" si="42"/>
        <v>0</v>
      </c>
      <c r="AI143" s="1">
        <f t="shared" si="43"/>
        <v>0</v>
      </c>
    </row>
    <row r="144" spans="1:35">
      <c r="A144" s="43">
        <v>113</v>
      </c>
      <c r="C144" s="243" t="s">
        <v>110</v>
      </c>
      <c r="D144" s="251"/>
      <c r="E144" s="880" t="str">
        <f>Bud_Yr&amp;" Budget"</f>
        <v>2022 Budget</v>
      </c>
      <c r="F144" s="881"/>
      <c r="G144" s="881"/>
      <c r="H144" s="881"/>
      <c r="I144" s="881" t="str">
        <f>Bud_Yr-1&amp;" Budget"</f>
        <v>2021 Budget</v>
      </c>
      <c r="J144" s="881"/>
      <c r="K144" s="881"/>
      <c r="L144" s="881"/>
      <c r="M144" s="290">
        <f>Bud_Yr-2</f>
        <v>2020</v>
      </c>
      <c r="N144" s="290">
        <f>+M144-1</f>
        <v>2019</v>
      </c>
      <c r="O144" s="290">
        <f>+N144-1</f>
        <v>2018</v>
      </c>
      <c r="P144" s="286">
        <f>ROUND(+Q144*(1+$F$101),0)</f>
        <v>2759</v>
      </c>
      <c r="Q144" s="231">
        <v>2759</v>
      </c>
      <c r="R144" s="241">
        <f t="shared" si="39"/>
        <v>0</v>
      </c>
      <c r="S144" s="242">
        <f t="shared" si="40"/>
        <v>0</v>
      </c>
      <c r="T144" s="243"/>
      <c r="U144" s="240">
        <v>975.42</v>
      </c>
      <c r="V144" s="240">
        <v>2299.1999999999998</v>
      </c>
      <c r="W144" s="242">
        <f t="shared" si="41"/>
        <v>-0.57575678496868465</v>
      </c>
      <c r="X144" s="644" t="s">
        <v>549</v>
      </c>
      <c r="Y144" s="58" t="s">
        <v>148</v>
      </c>
      <c r="AD144" s="1">
        <f t="shared" si="42"/>
        <v>2759</v>
      </c>
      <c r="AH144" s="1">
        <f t="shared" si="43"/>
        <v>975.42</v>
      </c>
    </row>
    <row r="145" spans="1:37" s="2" customFormat="1" ht="15" thickBot="1">
      <c r="A145" s="43">
        <v>114</v>
      </c>
      <c r="B145" s="24" t="s">
        <v>51</v>
      </c>
      <c r="C145" s="24"/>
      <c r="D145" s="24"/>
      <c r="E145" s="96" t="s">
        <v>158</v>
      </c>
      <c r="F145" s="97" t="s">
        <v>159</v>
      </c>
      <c r="G145" s="97" t="s">
        <v>162</v>
      </c>
      <c r="H145" s="97" t="s">
        <v>157</v>
      </c>
      <c r="I145" s="97" t="s">
        <v>158</v>
      </c>
      <c r="J145" s="97" t="s">
        <v>159</v>
      </c>
      <c r="K145" s="97" t="s">
        <v>162</v>
      </c>
      <c r="L145" s="97" t="s">
        <v>157</v>
      </c>
      <c r="M145" s="98" t="s">
        <v>159</v>
      </c>
      <c r="N145" s="98" t="s">
        <v>159</v>
      </c>
      <c r="O145" s="98" t="s">
        <v>159</v>
      </c>
      <c r="P145" s="24">
        <f>SUM(P133:P144)</f>
        <v>48357</v>
      </c>
      <c r="Q145" s="24">
        <f>SUM(Q133:Q144)</f>
        <v>52044</v>
      </c>
      <c r="R145" s="24">
        <f>SUM(R133:R144)</f>
        <v>-3687</v>
      </c>
      <c r="S145" s="25">
        <f t="shared" si="40"/>
        <v>-7.0843901314272539E-2</v>
      </c>
      <c r="U145" s="24">
        <f>SUM(U133:U144)</f>
        <v>21020.519999999997</v>
      </c>
      <c r="V145" s="24">
        <f>SUM(V133:V144)</f>
        <v>42765.599999999999</v>
      </c>
      <c r="W145" s="25">
        <f t="shared" si="41"/>
        <v>-0.50847129468544816</v>
      </c>
      <c r="X145" s="74"/>
      <c r="Y145" s="61"/>
      <c r="Z145" s="1"/>
      <c r="AC145" s="2" t="s">
        <v>406</v>
      </c>
      <c r="AD145" s="388">
        <v>0.33300000000000002</v>
      </c>
      <c r="AE145" s="388">
        <v>0.33300000000000002</v>
      </c>
      <c r="AF145" s="388">
        <v>0.33400000000000002</v>
      </c>
      <c r="AG145" s="1"/>
      <c r="AH145" s="35">
        <f>+AD145</f>
        <v>0.33300000000000002</v>
      </c>
      <c r="AI145" s="35">
        <f>+AE145</f>
        <v>0.33300000000000002</v>
      </c>
      <c r="AJ145" s="35">
        <f>+AF145</f>
        <v>0.33400000000000002</v>
      </c>
      <c r="AK145" s="1"/>
    </row>
    <row r="146" spans="1:37" ht="6.75" customHeight="1">
      <c r="A146" s="43">
        <v>115</v>
      </c>
      <c r="S146" s="5"/>
      <c r="X146" s="73"/>
      <c r="Y146" s="59"/>
    </row>
    <row r="147" spans="1:37" ht="14.25" customHeight="1">
      <c r="A147" s="43">
        <v>116</v>
      </c>
      <c r="B147" s="2" t="s">
        <v>52</v>
      </c>
      <c r="O147" s="26"/>
      <c r="P147" s="26"/>
      <c r="Q147" s="26"/>
      <c r="R147" s="26"/>
      <c r="S147" s="5"/>
      <c r="X147" s="73"/>
      <c r="Y147" s="59"/>
      <c r="AC147" s="1" t="s">
        <v>223</v>
      </c>
      <c r="AD147" s="388">
        <v>0.3</v>
      </c>
      <c r="AE147" s="388">
        <v>0.3</v>
      </c>
      <c r="AF147" s="388">
        <v>0.3</v>
      </c>
      <c r="AG147" s="388">
        <v>0.1</v>
      </c>
      <c r="AH147" s="35">
        <f>+AD147</f>
        <v>0.3</v>
      </c>
      <c r="AI147" s="35">
        <f>+AE147</f>
        <v>0.3</v>
      </c>
      <c r="AJ147" s="35">
        <f>+AF147</f>
        <v>0.3</v>
      </c>
    </row>
    <row r="148" spans="1:37">
      <c r="C148" s="398" t="s">
        <v>334</v>
      </c>
      <c r="D148" s="399"/>
      <c r="E148" s="809">
        <v>40</v>
      </c>
      <c r="F148" s="810">
        <v>19.440000000000001</v>
      </c>
      <c r="G148" s="809">
        <v>52</v>
      </c>
      <c r="H148" s="811">
        <f>+$F$100</f>
        <v>0</v>
      </c>
      <c r="I148" s="809">
        <v>40</v>
      </c>
      <c r="J148" s="810">
        <v>17.690000000000001</v>
      </c>
      <c r="K148" s="809">
        <v>52</v>
      </c>
      <c r="L148" s="404">
        <f>IF(M148=0,0,(+K148-M148)/M148)</f>
        <v>1.9988465974625143</v>
      </c>
      <c r="M148" s="812">
        <v>17.34</v>
      </c>
      <c r="N148" s="812">
        <v>17</v>
      </c>
      <c r="O148" s="813"/>
      <c r="P148" s="814">
        <f>ROUND(E148*F148*G148,0)</f>
        <v>40435</v>
      </c>
      <c r="Q148" s="814">
        <f>ROUND(I148*J148*K148,0)</f>
        <v>36795</v>
      </c>
      <c r="R148" s="403">
        <f>+P148-Q148</f>
        <v>3640</v>
      </c>
      <c r="S148" s="404">
        <f>IF(Q148=0,"NA",(+P148-Q148)/Q148)</f>
        <v>9.8926484576708787E-2</v>
      </c>
      <c r="T148" s="398"/>
      <c r="U148" s="402">
        <v>30029.03</v>
      </c>
      <c r="V148" s="402">
        <v>30662.5</v>
      </c>
      <c r="W148" s="404">
        <f>IF(V148=0,"NA",(+U148-V148)/V148)</f>
        <v>-2.0659437423563021E-2</v>
      </c>
      <c r="X148" s="547" t="s">
        <v>565</v>
      </c>
      <c r="Y148" s="815"/>
      <c r="Z148" s="398"/>
      <c r="AA148" s="398"/>
      <c r="AB148" s="398"/>
      <c r="AC148" s="398"/>
      <c r="AD148" s="398">
        <f>+$P148*AD$147</f>
        <v>12130.5</v>
      </c>
      <c r="AE148" s="398">
        <f t="shared" ref="AE148:AG148" si="44">+$P148*AE$147</f>
        <v>12130.5</v>
      </c>
      <c r="AF148" s="398">
        <f t="shared" si="44"/>
        <v>12130.5</v>
      </c>
      <c r="AG148" s="398">
        <f t="shared" si="44"/>
        <v>4043.5</v>
      </c>
      <c r="AH148" s="398">
        <f t="shared" ref="AH148:AJ150" si="45">+$U148*AH$145</f>
        <v>9999.6669899999997</v>
      </c>
      <c r="AI148" s="398">
        <f t="shared" si="45"/>
        <v>9999.6669899999997</v>
      </c>
      <c r="AJ148" s="398">
        <f t="shared" si="45"/>
        <v>10029.696019999999</v>
      </c>
    </row>
    <row r="149" spans="1:37">
      <c r="C149" s="233"/>
      <c r="D149" s="245"/>
      <c r="E149" s="568"/>
      <c r="F149" s="570"/>
      <c r="G149" s="568"/>
      <c r="H149" s="569"/>
      <c r="I149" s="568"/>
      <c r="J149" s="570"/>
      <c r="K149" s="568"/>
      <c r="L149" s="232"/>
      <c r="M149" s="571"/>
      <c r="N149" s="571"/>
      <c r="O149" s="287"/>
      <c r="P149" s="264"/>
      <c r="Q149" s="264"/>
      <c r="R149" s="231"/>
      <c r="S149" s="232"/>
      <c r="T149" s="233"/>
      <c r="U149" s="230"/>
      <c r="V149" s="230"/>
      <c r="W149" s="232"/>
      <c r="X149" s="234" t="s">
        <v>533</v>
      </c>
      <c r="Y149" s="69"/>
    </row>
    <row r="150" spans="1:37">
      <c r="A150" s="43">
        <v>122</v>
      </c>
      <c r="C150" s="238" t="s">
        <v>335</v>
      </c>
      <c r="D150" s="248"/>
      <c r="E150" s="291"/>
      <c r="F150" s="295"/>
      <c r="G150" s="291"/>
      <c r="H150" s="296"/>
      <c r="I150" s="291"/>
      <c r="J150" s="292"/>
      <c r="K150" s="291"/>
      <c r="L150" s="237"/>
      <c r="M150" s="294"/>
      <c r="N150" s="294"/>
      <c r="O150" s="236"/>
      <c r="P150" s="256">
        <v>1000</v>
      </c>
      <c r="Q150" s="256">
        <v>1000</v>
      </c>
      <c r="R150" s="236">
        <f>+P150-Q150</f>
        <v>0</v>
      </c>
      <c r="S150" s="237">
        <f>IF(Q150=0,"NA",(+P150-Q150)/Q150)</f>
        <v>0</v>
      </c>
      <c r="T150" s="238"/>
      <c r="U150" s="235">
        <v>0</v>
      </c>
      <c r="V150" s="235">
        <v>833.3</v>
      </c>
      <c r="W150" s="237">
        <f>IF(V150=0,"NA",(+U150-V150)/V150)</f>
        <v>-1</v>
      </c>
      <c r="X150" s="239" t="s">
        <v>295</v>
      </c>
      <c r="Y150" s="62" t="s">
        <v>121</v>
      </c>
      <c r="AD150" s="1">
        <f>+$P150*AD$145</f>
        <v>333</v>
      </c>
      <c r="AE150" s="1">
        <f>+$P150*AE$145</f>
        <v>333</v>
      </c>
      <c r="AF150" s="1">
        <f>+$P150*AF$145</f>
        <v>334</v>
      </c>
      <c r="AH150" s="1">
        <f t="shared" si="45"/>
        <v>0</v>
      </c>
      <c r="AI150" s="1">
        <f t="shared" si="45"/>
        <v>0</v>
      </c>
      <c r="AJ150" s="1">
        <f t="shared" si="45"/>
        <v>0</v>
      </c>
    </row>
    <row r="151" spans="1:37" ht="15.5" customHeight="1">
      <c r="A151" s="43">
        <v>118</v>
      </c>
      <c r="C151" s="238" t="s">
        <v>54</v>
      </c>
      <c r="D151" s="248"/>
      <c r="E151" s="297">
        <v>25</v>
      </c>
      <c r="F151" s="295">
        <f>ROUND(+J151*(1+H151),2)</f>
        <v>13.78</v>
      </c>
      <c r="G151" s="291">
        <v>0</v>
      </c>
      <c r="H151" s="293">
        <f>+$F$100</f>
        <v>0</v>
      </c>
      <c r="I151" s="291">
        <v>25</v>
      </c>
      <c r="J151" s="292">
        <v>13.78</v>
      </c>
      <c r="K151" s="291">
        <v>52</v>
      </c>
      <c r="L151" s="237">
        <f>IF(M151=0,0,(+J151-M151)/M151)</f>
        <v>1.026392961876824E-2</v>
      </c>
      <c r="M151" s="292">
        <v>13.64</v>
      </c>
      <c r="N151" s="292">
        <v>13.64</v>
      </c>
      <c r="O151" s="294">
        <v>13.11</v>
      </c>
      <c r="P151" s="272">
        <f>ROUND((E151*F151*G151)+(E152*F152*G152)+(E153*F153*G153),0)</f>
        <v>25854</v>
      </c>
      <c r="Q151" s="272">
        <f>ROUND((I151*J151*K151)+(I152*J152*K152)+(I153*J153*K153),0)</f>
        <v>34323</v>
      </c>
      <c r="R151" s="236">
        <f t="shared" ref="R151:R160" si="46">+P151-Q151</f>
        <v>-8469</v>
      </c>
      <c r="S151" s="237">
        <f t="shared" ref="S151:S162" si="47">IF(Q151=0,"NA",(+P151-Q151)/Q151)</f>
        <v>-0.24674416571977975</v>
      </c>
      <c r="T151" s="238"/>
      <c r="U151" s="256">
        <v>17755.599999999999</v>
      </c>
      <c r="V151" s="235">
        <v>28602.5</v>
      </c>
      <c r="W151" s="237">
        <f t="shared" ref="W151:W162" si="48">IF(V151=0,"NA",(+U151-V151)/V151)</f>
        <v>-0.37922908836640157</v>
      </c>
      <c r="X151" s="282" t="s">
        <v>563</v>
      </c>
      <c r="Y151" s="58" t="s">
        <v>123</v>
      </c>
      <c r="AG151" s="1">
        <f>+$P151</f>
        <v>25854</v>
      </c>
      <c r="AK151" s="1">
        <f>+$U151</f>
        <v>17755.599999999999</v>
      </c>
    </row>
    <row r="152" spans="1:37" ht="29">
      <c r="C152" s="238"/>
      <c r="D152" s="248"/>
      <c r="E152" s="297">
        <v>20</v>
      </c>
      <c r="F152" s="816">
        <f>ROUND(+J152*(1+0.025),2)</f>
        <v>11.86</v>
      </c>
      <c r="G152" s="291">
        <v>52</v>
      </c>
      <c r="H152" s="817">
        <f>+ROUND((F152-J152)/J152,3)</f>
        <v>2.5000000000000001E-2</v>
      </c>
      <c r="I152" s="291">
        <v>20</v>
      </c>
      <c r="J152" s="292">
        <v>11.57</v>
      </c>
      <c r="K152" s="291">
        <v>52</v>
      </c>
      <c r="L152" s="237">
        <f>IF(M152=0,0,(+J152-M152)/M152)</f>
        <v>0</v>
      </c>
      <c r="M152" s="292">
        <v>11.57</v>
      </c>
      <c r="N152" s="292">
        <v>13.64</v>
      </c>
      <c r="O152" s="292">
        <v>11.12</v>
      </c>
      <c r="P152" s="272"/>
      <c r="Q152" s="272"/>
      <c r="R152" s="236"/>
      <c r="S152" s="237"/>
      <c r="T152" s="238"/>
      <c r="U152" s="256"/>
      <c r="V152" s="235"/>
      <c r="W152" s="237"/>
      <c r="X152" s="239" t="str">
        <f>"Rebecca Arreola:  "&amp;Bud_Yr&amp;":  avg "&amp;E152&amp;" hrs/week at $"&amp;F152&amp;"/hr ("&amp;ROUND(H152*100,1)&amp;"% incr.) for "&amp;G152&amp;" weeks.                                    "&amp;Bud_Yr-1&amp;":  avg "&amp;I152&amp;" hrs/week at $"&amp;J152&amp;"/hr ("&amp;ROUND(L152*100,1)&amp;"% incr.) for "&amp;K152&amp;" weeks.   "&amp;Bud_Yr-2&amp;":  $"&amp;M152&amp;"/hour."</f>
        <v>Rebecca Arreola:  2022:  avg 20 hrs/week at $11.86/hr (2.5% incr.) for 52 weeks.                                    2021:  avg 20 hrs/week at $11.57/hr (0% incr.) for 52 weeks.   2020:  $11.57/hour.</v>
      </c>
      <c r="Y152" s="58"/>
      <c r="AA152" s="77"/>
    </row>
    <row r="153" spans="1:37" ht="29">
      <c r="C153" s="238"/>
      <c r="D153" s="248"/>
      <c r="E153" s="297">
        <v>20</v>
      </c>
      <c r="F153" s="816">
        <v>13</v>
      </c>
      <c r="G153" s="291">
        <v>52</v>
      </c>
      <c r="H153" s="817">
        <f>+ROUND((F153-J153)/J153,3)</f>
        <v>0.159</v>
      </c>
      <c r="I153" s="297">
        <v>7.5</v>
      </c>
      <c r="J153" s="292">
        <v>11.22</v>
      </c>
      <c r="K153" s="291">
        <v>52</v>
      </c>
      <c r="L153" s="237">
        <f>IF(M153=0,0,(+J153-M153)/M153)</f>
        <v>0</v>
      </c>
      <c r="M153" s="292">
        <v>11.22</v>
      </c>
      <c r="N153" s="292">
        <v>11.22</v>
      </c>
      <c r="O153" s="292">
        <v>11.25</v>
      </c>
      <c r="P153" s="272"/>
      <c r="Q153" s="272"/>
      <c r="R153" s="236"/>
      <c r="S153" s="237"/>
      <c r="T153" s="238"/>
      <c r="U153" s="256"/>
      <c r="V153" s="235"/>
      <c r="W153" s="237"/>
      <c r="X153" s="239" t="str">
        <f>"Glenn Napier for "&amp;Bud_Yr&amp;":  avg "&amp;E153&amp;" hrs/week at $"&amp;F153&amp;"/hr ("&amp;ROUND(H153*100,1)&amp;"% incr.) for "&amp;G153&amp;" weeks.                                                     "&amp;Bud_Yr-1&amp;":  avg "&amp;I153&amp;" hrs/week at $"&amp;J153&amp;"/hr ("&amp;ROUND(L153*100,1)&amp;"% incr.) for "&amp;K153&amp;" weeks.   "&amp;Bud_Yr-2&amp;":  $"&amp;M153&amp;"/hour."</f>
        <v>Glenn Napier for 2022:  avg 20 hrs/week at $13/hr (15.9% incr.) for 52 weeks.                                                     2021:  avg 7.5 hrs/week at $11.22/hr (0% incr.) for 52 weeks.   2020:  $11.22/hour.</v>
      </c>
      <c r="Y153" s="58"/>
      <c r="AA153" s="77"/>
    </row>
    <row r="154" spans="1:37">
      <c r="A154" s="43">
        <v>119</v>
      </c>
      <c r="C154" s="238" t="s">
        <v>55</v>
      </c>
      <c r="D154" s="248"/>
      <c r="E154" s="249"/>
      <c r="F154" s="250"/>
      <c r="G154" s="250"/>
      <c r="H154" s="250"/>
      <c r="I154" s="250"/>
      <c r="J154" s="250"/>
      <c r="K154" s="250"/>
      <c r="L154" s="250"/>
      <c r="M154" s="250"/>
      <c r="N154" s="250"/>
      <c r="O154" s="238"/>
      <c r="P154" s="256">
        <v>400</v>
      </c>
      <c r="Q154" s="235">
        <v>400</v>
      </c>
      <c r="R154" s="236">
        <f t="shared" si="46"/>
        <v>0</v>
      </c>
      <c r="S154" s="237">
        <f t="shared" si="47"/>
        <v>0</v>
      </c>
      <c r="T154" s="238"/>
      <c r="U154" s="256">
        <v>64.599999999999994</v>
      </c>
      <c r="V154" s="235">
        <v>333.3</v>
      </c>
      <c r="W154" s="237">
        <f t="shared" si="48"/>
        <v>-0.8061806180618063</v>
      </c>
      <c r="X154" s="239"/>
      <c r="Y154" s="62"/>
      <c r="AD154" s="1">
        <f t="shared" ref="AD154:AF155" si="49">+$P154*AD$145</f>
        <v>133.20000000000002</v>
      </c>
      <c r="AE154" s="1">
        <f t="shared" si="49"/>
        <v>133.20000000000002</v>
      </c>
      <c r="AF154" s="1">
        <f t="shared" si="49"/>
        <v>133.6</v>
      </c>
      <c r="AH154" s="1">
        <f t="shared" ref="AH154:AJ155" si="50">+$U154*AH$145</f>
        <v>21.511800000000001</v>
      </c>
      <c r="AI154" s="1">
        <f t="shared" si="50"/>
        <v>21.511800000000001</v>
      </c>
      <c r="AJ154" s="1">
        <f t="shared" si="50"/>
        <v>21.5764</v>
      </c>
    </row>
    <row r="155" spans="1:37">
      <c r="A155" s="43">
        <v>120</v>
      </c>
      <c r="C155" s="238" t="s">
        <v>99</v>
      </c>
      <c r="D155" s="248"/>
      <c r="E155" s="249"/>
      <c r="F155" s="250"/>
      <c r="G155" s="250"/>
      <c r="H155" s="250"/>
      <c r="I155" s="250"/>
      <c r="J155" s="250"/>
      <c r="K155" s="250"/>
      <c r="L155" s="250"/>
      <c r="M155" s="250"/>
      <c r="N155" s="250"/>
      <c r="O155" s="238"/>
      <c r="P155" s="256">
        <f>700</f>
        <v>700</v>
      </c>
      <c r="Q155" s="235">
        <v>700</v>
      </c>
      <c r="R155" s="236">
        <f t="shared" si="46"/>
        <v>0</v>
      </c>
      <c r="S155" s="237">
        <f t="shared" si="47"/>
        <v>0</v>
      </c>
      <c r="T155" s="238"/>
      <c r="U155" s="235">
        <v>0</v>
      </c>
      <c r="V155" s="235">
        <v>583.29999999999995</v>
      </c>
      <c r="W155" s="237">
        <f t="shared" si="48"/>
        <v>-1</v>
      </c>
      <c r="X155" s="239" t="s">
        <v>541</v>
      </c>
      <c r="Y155" s="62"/>
      <c r="Z155" s="2"/>
      <c r="AD155" s="1">
        <f t="shared" si="49"/>
        <v>233.10000000000002</v>
      </c>
      <c r="AE155" s="1">
        <f t="shared" si="49"/>
        <v>233.10000000000002</v>
      </c>
      <c r="AF155" s="1">
        <f t="shared" si="49"/>
        <v>233.8</v>
      </c>
      <c r="AH155" s="1">
        <f t="shared" si="50"/>
        <v>0</v>
      </c>
      <c r="AI155" s="1">
        <f t="shared" si="50"/>
        <v>0</v>
      </c>
      <c r="AJ155" s="1">
        <f t="shared" si="50"/>
        <v>0</v>
      </c>
    </row>
    <row r="156" spans="1:37" ht="14" customHeight="1">
      <c r="C156" s="238" t="s">
        <v>116</v>
      </c>
      <c r="D156" s="248"/>
      <c r="E156" s="249"/>
      <c r="F156" s="250"/>
      <c r="G156" s="250"/>
      <c r="H156" s="298"/>
      <c r="I156" s="298"/>
      <c r="J156" s="298"/>
      <c r="K156" s="298"/>
      <c r="L156" s="298"/>
      <c r="M156" s="298"/>
      <c r="N156" s="298"/>
      <c r="O156" s="299"/>
      <c r="P156" s="272">
        <f>+'Band and Other Music'!E59</f>
        <v>925</v>
      </c>
      <c r="Q156" s="235">
        <v>925</v>
      </c>
      <c r="R156" s="236">
        <f t="shared" si="46"/>
        <v>0</v>
      </c>
      <c r="S156" s="237">
        <f>IF(Q156=0,"NA",(+P156-Q156)/Q156)</f>
        <v>0</v>
      </c>
      <c r="T156" s="238"/>
      <c r="U156" s="256">
        <v>0</v>
      </c>
      <c r="V156" s="235">
        <v>719.44</v>
      </c>
      <c r="W156" s="237">
        <f>IF(V156=0,"NA",(+U156-V156)/V156)</f>
        <v>-1</v>
      </c>
      <c r="X156" s="239" t="s">
        <v>325</v>
      </c>
      <c r="Y156" s="58" t="s">
        <v>133</v>
      </c>
      <c r="AD156" s="1">
        <f t="shared" ref="AD156" si="51">+$P156</f>
        <v>925</v>
      </c>
      <c r="AH156" s="1">
        <f t="shared" ref="AH156" si="52">+$U156</f>
        <v>0</v>
      </c>
    </row>
    <row r="157" spans="1:37" ht="16.5" customHeight="1">
      <c r="C157" s="885" t="s">
        <v>348</v>
      </c>
      <c r="D157" s="885"/>
      <c r="E157" s="291">
        <v>15</v>
      </c>
      <c r="F157" s="781">
        <f>ROUND(+J157*(1+0),2)</f>
        <v>14.57</v>
      </c>
      <c r="G157" s="291">
        <v>0</v>
      </c>
      <c r="H157" s="293">
        <f>+$F$100</f>
        <v>0</v>
      </c>
      <c r="I157" s="291">
        <v>15</v>
      </c>
      <c r="J157" s="292">
        <v>14.57</v>
      </c>
      <c r="K157" s="291">
        <v>52</v>
      </c>
      <c r="L157" s="237">
        <f>IF(M157=0,0,(+J157-M157)/M157)</f>
        <v>0</v>
      </c>
      <c r="M157" s="292">
        <v>14.57</v>
      </c>
      <c r="N157" s="292">
        <v>14.28</v>
      </c>
      <c r="O157" s="292">
        <v>14</v>
      </c>
      <c r="P157" s="820">
        <v>0</v>
      </c>
      <c r="Q157" s="272">
        <f>ROUND(+I157*J157*K157,0)</f>
        <v>11365</v>
      </c>
      <c r="R157" s="236">
        <f>+P157-Q157</f>
        <v>-11365</v>
      </c>
      <c r="S157" s="237">
        <f>IF(Q157=0,"NA",(+P157-Q157)/Q157)</f>
        <v>-1</v>
      </c>
      <c r="T157" s="238"/>
      <c r="U157" s="256">
        <v>4817.57</v>
      </c>
      <c r="V157" s="235">
        <v>9470.7999999999993</v>
      </c>
      <c r="W157" s="237">
        <f>IF(V157=0,"NA",(+U157-V157)/V157)</f>
        <v>-0.4913238585969506</v>
      </c>
      <c r="X157" s="282" t="s">
        <v>564</v>
      </c>
      <c r="Y157" s="59"/>
      <c r="Z157" s="39"/>
      <c r="AD157" s="1">
        <f t="shared" ref="AD157:AF159" si="53">+$P157*AD$145</f>
        <v>0</v>
      </c>
      <c r="AE157" s="1">
        <f t="shared" si="53"/>
        <v>0</v>
      </c>
      <c r="AF157" s="1">
        <f t="shared" si="53"/>
        <v>0</v>
      </c>
      <c r="AH157" s="1">
        <f t="shared" ref="AH157:AJ159" si="54">+$U157*AH$145</f>
        <v>1604.25081</v>
      </c>
      <c r="AI157" s="1">
        <f t="shared" si="54"/>
        <v>1604.25081</v>
      </c>
      <c r="AJ157" s="1">
        <f t="shared" si="54"/>
        <v>1609.0683799999999</v>
      </c>
    </row>
    <row r="158" spans="1:37" ht="14.5" customHeight="1">
      <c r="A158" s="43">
        <v>123</v>
      </c>
      <c r="C158" s="238" t="s">
        <v>56</v>
      </c>
      <c r="D158" s="248"/>
      <c r="E158" s="301"/>
      <c r="F158" s="440"/>
      <c r="G158" s="301"/>
      <c r="H158" s="301"/>
      <c r="I158" s="301"/>
      <c r="J158" s="302"/>
      <c r="K158" s="303"/>
      <c r="L158" s="303"/>
      <c r="M158" s="304">
        <v>7.6499999999999999E-2</v>
      </c>
      <c r="N158" s="304"/>
      <c r="O158" s="238"/>
      <c r="P158" s="256">
        <f>ROUND((+P129+P145+P148+P150+P151+P156+P157+P160)*$M158,0)</f>
        <v>9094</v>
      </c>
      <c r="Q158" s="256">
        <f>ROUND((+Q129+Q145+Q148+Q150+Q151+Q156+Q157+Q160)*$M158,0)-2</f>
        <v>10613</v>
      </c>
      <c r="R158" s="236">
        <f t="shared" si="46"/>
        <v>-1519</v>
      </c>
      <c r="S158" s="237">
        <f t="shared" si="47"/>
        <v>-0.14312635447093189</v>
      </c>
      <c r="T158" s="238"/>
      <c r="U158" s="256">
        <v>4840.6099999999997</v>
      </c>
      <c r="V158" s="256">
        <v>8844.2000000000007</v>
      </c>
      <c r="W158" s="237">
        <f t="shared" si="48"/>
        <v>-0.45267972230388287</v>
      </c>
      <c r="X158" s="289" t="s">
        <v>308</v>
      </c>
      <c r="Y158" s="62" t="s">
        <v>134</v>
      </c>
      <c r="Z158" s="46"/>
      <c r="AD158" s="1">
        <f t="shared" si="53"/>
        <v>3028.3020000000001</v>
      </c>
      <c r="AE158" s="1">
        <f t="shared" si="53"/>
        <v>3028.3020000000001</v>
      </c>
      <c r="AF158" s="1">
        <f t="shared" si="53"/>
        <v>3037.3960000000002</v>
      </c>
      <c r="AH158" s="1">
        <f t="shared" si="54"/>
        <v>1611.9231299999999</v>
      </c>
      <c r="AI158" s="1">
        <f t="shared" si="54"/>
        <v>1611.9231299999999</v>
      </c>
      <c r="AJ158" s="1">
        <f t="shared" si="54"/>
        <v>1616.7637399999999</v>
      </c>
    </row>
    <row r="159" spans="1:37" ht="14.4" customHeight="1">
      <c r="A159" s="43">
        <v>124</v>
      </c>
      <c r="C159" s="238" t="s">
        <v>57</v>
      </c>
      <c r="D159" s="248"/>
      <c r="E159" s="249"/>
      <c r="F159" s="441"/>
      <c r="G159" s="441"/>
      <c r="H159" s="441"/>
      <c r="I159" s="250"/>
      <c r="J159" s="250"/>
      <c r="K159" s="250"/>
      <c r="L159" s="250"/>
      <c r="M159" s="250"/>
      <c r="N159" s="250"/>
      <c r="O159" s="238"/>
      <c r="P159" s="256">
        <v>2800</v>
      </c>
      <c r="Q159" s="256">
        <v>3650</v>
      </c>
      <c r="R159" s="236">
        <f t="shared" si="46"/>
        <v>-850</v>
      </c>
      <c r="S159" s="237">
        <f t="shared" si="47"/>
        <v>-0.23287671232876711</v>
      </c>
      <c r="T159" s="238"/>
      <c r="U159" s="256">
        <v>1725.5</v>
      </c>
      <c r="V159" s="256">
        <v>2737.5</v>
      </c>
      <c r="W159" s="237">
        <f t="shared" si="48"/>
        <v>-0.36968036529680365</v>
      </c>
      <c r="X159" s="808" t="s">
        <v>613</v>
      </c>
      <c r="Y159" s="62" t="s">
        <v>135</v>
      </c>
      <c r="Z159" s="46"/>
      <c r="AD159" s="1">
        <f t="shared" si="53"/>
        <v>932.40000000000009</v>
      </c>
      <c r="AE159" s="1">
        <f t="shared" si="53"/>
        <v>932.40000000000009</v>
      </c>
      <c r="AF159" s="1">
        <f t="shared" si="53"/>
        <v>935.2</v>
      </c>
      <c r="AH159" s="1">
        <f t="shared" si="54"/>
        <v>574.5915</v>
      </c>
      <c r="AI159" s="1">
        <f t="shared" si="54"/>
        <v>574.5915</v>
      </c>
      <c r="AJ159" s="1">
        <f t="shared" si="54"/>
        <v>576.31700000000001</v>
      </c>
    </row>
    <row r="160" spans="1:37">
      <c r="A160" s="43">
        <v>125</v>
      </c>
      <c r="C160" s="238" t="s">
        <v>58</v>
      </c>
      <c r="D160" s="248"/>
      <c r="P160" s="54">
        <v>1500</v>
      </c>
      <c r="Q160" s="52">
        <v>1500</v>
      </c>
      <c r="R160" s="38">
        <f t="shared" si="46"/>
        <v>0</v>
      </c>
      <c r="S160" s="4">
        <f t="shared" si="47"/>
        <v>0</v>
      </c>
      <c r="U160" s="54">
        <v>0</v>
      </c>
      <c r="V160" s="54">
        <v>1250</v>
      </c>
      <c r="W160" s="4">
        <f t="shared" si="48"/>
        <v>-1</v>
      </c>
      <c r="X160" s="234" t="s">
        <v>326</v>
      </c>
      <c r="Y160" s="58"/>
      <c r="AD160" s="1">
        <f t="shared" ref="AD160" si="55">+$P160</f>
        <v>1500</v>
      </c>
      <c r="AH160" s="1">
        <f t="shared" ref="AH160" si="56">+$U160</f>
        <v>0</v>
      </c>
    </row>
    <row r="161" spans="1:37" s="2" customFormat="1">
      <c r="A161" s="43">
        <v>127</v>
      </c>
      <c r="B161" s="24" t="s">
        <v>53</v>
      </c>
      <c r="C161" s="24"/>
      <c r="D161" s="24"/>
      <c r="E161" s="88"/>
      <c r="F161" s="88"/>
      <c r="G161" s="88"/>
      <c r="H161" s="88"/>
      <c r="I161" s="88"/>
      <c r="J161" s="88"/>
      <c r="K161" s="88"/>
      <c r="L161" s="88"/>
      <c r="M161" s="88"/>
      <c r="N161" s="88"/>
      <c r="O161" s="24"/>
      <c r="P161" s="24">
        <f>SUM(P148:P160)</f>
        <v>82708</v>
      </c>
      <c r="Q161" s="24">
        <f>SUM(Q148:Q160)</f>
        <v>101271</v>
      </c>
      <c r="R161" s="24">
        <f>SUM(R148:R160)</f>
        <v>-18563</v>
      </c>
      <c r="S161" s="25">
        <f t="shared" si="47"/>
        <v>-0.18330025377452577</v>
      </c>
      <c r="U161" s="24">
        <f>SUM(U148:U160)</f>
        <v>59232.909999999996</v>
      </c>
      <c r="V161" s="24">
        <f>SUM(V148:V160)</f>
        <v>84036.840000000011</v>
      </c>
      <c r="W161" s="25">
        <f t="shared" si="48"/>
        <v>-0.29515543421194812</v>
      </c>
      <c r="X161" s="74"/>
      <c r="Y161" s="61"/>
      <c r="Z161" s="26"/>
    </row>
    <row r="162" spans="1:37">
      <c r="A162" s="43">
        <v>128</v>
      </c>
      <c r="B162" s="24" t="s">
        <v>59</v>
      </c>
      <c r="C162" s="24"/>
      <c r="D162" s="24"/>
      <c r="E162" s="88"/>
      <c r="F162" s="25"/>
      <c r="G162" s="25"/>
      <c r="H162" s="25"/>
      <c r="I162" s="25"/>
      <c r="J162" s="25"/>
      <c r="K162" s="25"/>
      <c r="L162" s="25"/>
      <c r="M162" s="25"/>
      <c r="N162" s="25"/>
      <c r="O162" s="34"/>
      <c r="P162" s="24">
        <f>+P113+P126+P130+P145+P161</f>
        <v>329894</v>
      </c>
      <c r="Q162" s="24">
        <f>+Q113+Q126+Q130+Q145+Q161</f>
        <v>342612</v>
      </c>
      <c r="R162" s="24">
        <f>+R113+R126+R130+R145+R161</f>
        <v>-12718</v>
      </c>
      <c r="S162" s="25">
        <f t="shared" si="47"/>
        <v>-3.7120707972867269E-2</v>
      </c>
      <c r="U162" s="24">
        <f>+U113+U126+U130+U145+U161</f>
        <v>233616.83</v>
      </c>
      <c r="V162" s="24">
        <f>+V113+V126+V130+V145+V161</f>
        <v>284425.47000000003</v>
      </c>
      <c r="W162" s="25">
        <f t="shared" si="48"/>
        <v>-0.17863604127998817</v>
      </c>
      <c r="X162" s="73"/>
      <c r="Y162" s="59"/>
      <c r="Z162" s="26"/>
    </row>
    <row r="163" spans="1:37" ht="8.25" customHeight="1">
      <c r="A163" s="43">
        <v>144</v>
      </c>
      <c r="S163" s="5"/>
      <c r="X163" s="73"/>
      <c r="Y163" s="59"/>
    </row>
    <row r="164" spans="1:37" ht="18.5">
      <c r="A164" s="43">
        <v>130</v>
      </c>
      <c r="B164" s="7" t="s">
        <v>60</v>
      </c>
      <c r="S164" s="5"/>
      <c r="X164" s="73"/>
      <c r="Y164" s="59"/>
    </row>
    <row r="165" spans="1:37">
      <c r="A165" s="43">
        <v>131</v>
      </c>
      <c r="B165" s="2" t="s">
        <v>61</v>
      </c>
      <c r="S165" s="5"/>
      <c r="X165" s="73"/>
      <c r="Y165" s="59"/>
    </row>
    <row r="166" spans="1:37" ht="14.5" customHeight="1">
      <c r="A166" s="43">
        <v>132</v>
      </c>
      <c r="C166" s="398" t="s">
        <v>63</v>
      </c>
      <c r="D166" s="399"/>
      <c r="E166" s="400"/>
      <c r="F166" s="401"/>
      <c r="G166" s="401"/>
      <c r="H166" s="401"/>
      <c r="I166" s="401"/>
      <c r="J166" s="401"/>
      <c r="K166" s="401"/>
      <c r="L166" s="401"/>
      <c r="M166" s="401"/>
      <c r="N166" s="401"/>
      <c r="O166" s="398"/>
      <c r="P166" s="406">
        <v>11000</v>
      </c>
      <c r="Q166" s="406">
        <v>12000</v>
      </c>
      <c r="R166" s="403">
        <f t="shared" ref="R166:R176" si="57">+P166-Q166</f>
        <v>-1000</v>
      </c>
      <c r="S166" s="404">
        <f t="shared" ref="S166:S177" si="58">IF(Q166=0,"NA",(+P166-Q166)/Q166)</f>
        <v>-8.3333333333333329E-2</v>
      </c>
      <c r="T166" s="398"/>
      <c r="U166" s="402">
        <v>8279.19</v>
      </c>
      <c r="V166" s="402">
        <v>10000</v>
      </c>
      <c r="W166" s="404">
        <f t="shared" ref="W166:W177" si="59">IF(V166=0,"NA",(+U166-V166)/V166)</f>
        <v>-0.17208099999999996</v>
      </c>
      <c r="X166" s="808" t="s">
        <v>542</v>
      </c>
      <c r="Y166" s="58" t="s">
        <v>136</v>
      </c>
      <c r="AG166" s="1">
        <f t="shared" ref="AG166:AG176" si="60">+$P166</f>
        <v>11000</v>
      </c>
      <c r="AK166" s="1">
        <f t="shared" ref="AK166:AK176" si="61">+$U166</f>
        <v>8279.19</v>
      </c>
    </row>
    <row r="167" spans="1:37" ht="14.5" hidden="1" customHeight="1">
      <c r="C167" s="233"/>
      <c r="D167" s="245"/>
      <c r="E167" s="400"/>
      <c r="F167" s="401"/>
      <c r="G167" s="401"/>
      <c r="H167" s="401"/>
      <c r="I167" s="401"/>
      <c r="J167" s="401"/>
      <c r="K167" s="401"/>
      <c r="L167" s="401"/>
      <c r="M167" s="401"/>
      <c r="N167" s="401"/>
      <c r="O167" s="398"/>
      <c r="P167" s="258"/>
      <c r="Q167" s="258"/>
      <c r="R167" s="231"/>
      <c r="S167" s="232"/>
      <c r="T167" s="233"/>
      <c r="U167" s="230"/>
      <c r="V167" s="230"/>
      <c r="W167" s="232"/>
      <c r="X167" s="234" t="s">
        <v>328</v>
      </c>
      <c r="Y167" s="58"/>
    </row>
    <row r="168" spans="1:37" ht="14.5" customHeight="1">
      <c r="A168" s="43">
        <v>133</v>
      </c>
      <c r="C168" s="238" t="s">
        <v>64</v>
      </c>
      <c r="D168" s="248"/>
      <c r="E168" s="246"/>
      <c r="F168" s="247"/>
      <c r="G168" s="247"/>
      <c r="H168" s="247"/>
      <c r="I168" s="247"/>
      <c r="J168" s="247"/>
      <c r="K168" s="247"/>
      <c r="L168" s="247"/>
      <c r="M168" s="247"/>
      <c r="N168" s="247"/>
      <c r="O168" s="233"/>
      <c r="P168" s="256">
        <v>8400</v>
      </c>
      <c r="Q168" s="256">
        <v>10000</v>
      </c>
      <c r="R168" s="236">
        <f t="shared" si="57"/>
        <v>-1600</v>
      </c>
      <c r="S168" s="237">
        <f t="shared" si="58"/>
        <v>-0.16</v>
      </c>
      <c r="T168" s="238"/>
      <c r="U168" s="235">
        <v>7000</v>
      </c>
      <c r="V168" s="235">
        <v>8333.2999999999993</v>
      </c>
      <c r="W168" s="237">
        <f t="shared" si="59"/>
        <v>-0.15999663998655989</v>
      </c>
      <c r="X168" s="547" t="s">
        <v>548</v>
      </c>
      <c r="Y168" s="66" t="s">
        <v>139</v>
      </c>
      <c r="AG168" s="1">
        <f t="shared" si="60"/>
        <v>8400</v>
      </c>
      <c r="AK168" s="1">
        <f t="shared" si="61"/>
        <v>7000</v>
      </c>
    </row>
    <row r="169" spans="1:37" ht="14.5" hidden="1" customHeight="1">
      <c r="C169" s="233"/>
      <c r="D169" s="245"/>
      <c r="E169" s="246"/>
      <c r="F169" s="247"/>
      <c r="G169" s="247"/>
      <c r="H169" s="247"/>
      <c r="I169" s="247"/>
      <c r="J169" s="247"/>
      <c r="K169" s="247"/>
      <c r="L169" s="247"/>
      <c r="M169" s="247"/>
      <c r="N169" s="247"/>
      <c r="O169" s="233"/>
      <c r="P169" s="258"/>
      <c r="Q169" s="258"/>
      <c r="R169" s="231"/>
      <c r="S169" s="232"/>
      <c r="T169" s="233"/>
      <c r="U169" s="230"/>
      <c r="V169" s="230"/>
      <c r="W169" s="232"/>
      <c r="X169" s="234" t="s">
        <v>329</v>
      </c>
      <c r="Y169" s="66"/>
    </row>
    <row r="170" spans="1:37">
      <c r="A170" s="43">
        <v>134</v>
      </c>
      <c r="C170" s="398" t="s">
        <v>297</v>
      </c>
      <c r="D170" s="399"/>
      <c r="E170" s="400"/>
      <c r="F170" s="401"/>
      <c r="G170" s="401"/>
      <c r="H170" s="401"/>
      <c r="I170" s="401"/>
      <c r="J170" s="401"/>
      <c r="K170" s="401"/>
      <c r="L170" s="401"/>
      <c r="M170" s="401"/>
      <c r="N170" s="401"/>
      <c r="O170" s="412"/>
      <c r="P170" s="402">
        <v>4800</v>
      </c>
      <c r="Q170" s="402">
        <v>4400</v>
      </c>
      <c r="R170" s="403">
        <f t="shared" si="57"/>
        <v>400</v>
      </c>
      <c r="S170" s="404">
        <f t="shared" si="58"/>
        <v>9.0909090909090912E-2</v>
      </c>
      <c r="T170" s="398"/>
      <c r="U170" s="402">
        <v>3965.14</v>
      </c>
      <c r="V170" s="402">
        <v>3666.7</v>
      </c>
      <c r="W170" s="404">
        <f t="shared" si="59"/>
        <v>8.13919873455696E-2</v>
      </c>
      <c r="X170" s="645" t="s">
        <v>542</v>
      </c>
      <c r="Y170" s="65"/>
      <c r="Z170" s="2"/>
      <c r="AG170" s="1">
        <f t="shared" si="60"/>
        <v>4800</v>
      </c>
      <c r="AK170" s="1">
        <f t="shared" si="61"/>
        <v>3965.14</v>
      </c>
    </row>
    <row r="171" spans="1:37" ht="49.5" hidden="1" customHeight="1">
      <c r="C171" s="233"/>
      <c r="D171" s="245"/>
      <c r="O171" s="3"/>
      <c r="P171" s="230"/>
      <c r="Q171" s="230"/>
      <c r="R171" s="231"/>
      <c r="S171" s="232"/>
      <c r="T171" s="233"/>
      <c r="U171" s="230"/>
      <c r="V171" s="230"/>
      <c r="W171" s="232"/>
      <c r="X171" s="234" t="s">
        <v>311</v>
      </c>
      <c r="Y171" s="65"/>
    </row>
    <row r="172" spans="1:37" ht="14.5" customHeight="1">
      <c r="A172" s="43">
        <v>135</v>
      </c>
      <c r="C172" s="243" t="s">
        <v>66</v>
      </c>
      <c r="D172" s="251"/>
      <c r="P172" s="240">
        <v>1800</v>
      </c>
      <c r="Q172" s="240">
        <v>1000</v>
      </c>
      <c r="R172" s="241">
        <f t="shared" si="57"/>
        <v>800</v>
      </c>
      <c r="S172" s="242">
        <f t="shared" si="58"/>
        <v>0.8</v>
      </c>
      <c r="T172" s="243"/>
      <c r="U172" s="240">
        <v>1201.98</v>
      </c>
      <c r="V172" s="240">
        <v>1000</v>
      </c>
      <c r="W172" s="242">
        <f t="shared" si="59"/>
        <v>0.20198000000000002</v>
      </c>
      <c r="X172" s="547" t="s">
        <v>559</v>
      </c>
      <c r="Y172" s="58"/>
      <c r="AG172" s="1">
        <f t="shared" si="60"/>
        <v>1800</v>
      </c>
      <c r="AK172" s="1">
        <f t="shared" si="61"/>
        <v>1201.98</v>
      </c>
    </row>
    <row r="173" spans="1:37" ht="14.5" customHeight="1">
      <c r="A173" s="43">
        <v>136</v>
      </c>
      <c r="C173" s="243" t="s">
        <v>67</v>
      </c>
      <c r="D173" s="251"/>
      <c r="P173" s="240">
        <v>350</v>
      </c>
      <c r="Q173" s="257">
        <v>350</v>
      </c>
      <c r="R173" s="241">
        <f t="shared" si="57"/>
        <v>0</v>
      </c>
      <c r="S173" s="242">
        <f t="shared" si="58"/>
        <v>0</v>
      </c>
      <c r="T173" s="243"/>
      <c r="U173" s="240">
        <v>263.39999999999998</v>
      </c>
      <c r="V173" s="240">
        <v>291.7</v>
      </c>
      <c r="W173" s="242">
        <f t="shared" si="59"/>
        <v>-9.7017483716146768E-2</v>
      </c>
      <c r="X173" s="547" t="s">
        <v>560</v>
      </c>
      <c r="Y173" s="66" t="s">
        <v>140</v>
      </c>
      <c r="AG173" s="1">
        <f t="shared" si="60"/>
        <v>350</v>
      </c>
      <c r="AK173" s="1">
        <f t="shared" si="61"/>
        <v>263.39999999999998</v>
      </c>
    </row>
    <row r="174" spans="1:37" ht="14" hidden="1" customHeight="1">
      <c r="A174" s="43">
        <v>137</v>
      </c>
      <c r="C174" s="243" t="s">
        <v>68</v>
      </c>
      <c r="D174" s="251"/>
      <c r="E174" s="400"/>
      <c r="F174" s="401"/>
      <c r="G174" s="401"/>
      <c r="H174" s="648"/>
      <c r="I174" s="648"/>
      <c r="J174" s="648"/>
      <c r="K174" s="648"/>
      <c r="L174" s="648"/>
      <c r="M174" s="648"/>
      <c r="N174" s="648"/>
      <c r="O174" s="398"/>
      <c r="P174" s="240">
        <v>0</v>
      </c>
      <c r="Q174" s="257">
        <v>0</v>
      </c>
      <c r="R174" s="241">
        <f t="shared" si="57"/>
        <v>0</v>
      </c>
      <c r="S174" s="242" t="str">
        <f t="shared" si="58"/>
        <v>NA</v>
      </c>
      <c r="T174" s="243"/>
      <c r="U174" s="240">
        <v>0</v>
      </c>
      <c r="V174" s="240">
        <v>0</v>
      </c>
      <c r="W174" s="242" t="str">
        <f t="shared" si="59"/>
        <v>NA</v>
      </c>
      <c r="X174" s="547" t="s">
        <v>399</v>
      </c>
      <c r="Y174" s="62" t="s">
        <v>312</v>
      </c>
      <c r="AG174" s="1">
        <f t="shared" si="60"/>
        <v>0</v>
      </c>
      <c r="AK174" s="1">
        <f t="shared" si="61"/>
        <v>0</v>
      </c>
    </row>
    <row r="175" spans="1:37" ht="29.5" hidden="1" customHeight="1">
      <c r="C175" s="398"/>
      <c r="D175" s="399"/>
      <c r="H175" s="89"/>
      <c r="I175" s="89"/>
      <c r="J175" s="89"/>
      <c r="K175" s="89"/>
      <c r="L175" s="89"/>
      <c r="M175" s="89"/>
      <c r="N175" s="89"/>
      <c r="P175" s="402"/>
      <c r="Q175" s="406"/>
      <c r="R175" s="403"/>
      <c r="S175" s="404"/>
      <c r="T175" s="398"/>
      <c r="U175" s="402"/>
      <c r="V175" s="402"/>
      <c r="W175" s="404"/>
      <c r="X175" s="234" t="s">
        <v>306</v>
      </c>
      <c r="Y175" s="62"/>
    </row>
    <row r="176" spans="1:37">
      <c r="A176" s="43">
        <v>138</v>
      </c>
      <c r="B176" s="647"/>
      <c r="C176" s="243" t="s">
        <v>104</v>
      </c>
      <c r="D176" s="251"/>
      <c r="E176" s="400"/>
      <c r="F176" s="401"/>
      <c r="G176" s="401"/>
      <c r="H176" s="401"/>
      <c r="I176" s="401"/>
      <c r="J176" s="401"/>
      <c r="K176" s="401"/>
      <c r="L176" s="401"/>
      <c r="M176" s="401"/>
      <c r="N176" s="401"/>
      <c r="O176" s="398"/>
      <c r="P176" s="240">
        <v>6052</v>
      </c>
      <c r="Q176" s="240">
        <v>5200</v>
      </c>
      <c r="R176" s="241">
        <f t="shared" si="57"/>
        <v>852</v>
      </c>
      <c r="S176" s="242">
        <f t="shared" si="58"/>
        <v>0.16384615384615384</v>
      </c>
      <c r="T176" s="243"/>
      <c r="U176" s="240">
        <v>5922.54</v>
      </c>
      <c r="V176" s="240">
        <v>5200</v>
      </c>
      <c r="W176" s="242">
        <f t="shared" si="59"/>
        <v>0.13894999999999999</v>
      </c>
      <c r="X176" s="644" t="s">
        <v>561</v>
      </c>
      <c r="Y176" s="58"/>
      <c r="AG176" s="1">
        <f t="shared" si="60"/>
        <v>6052</v>
      </c>
      <c r="AK176" s="1">
        <f t="shared" si="61"/>
        <v>5922.54</v>
      </c>
    </row>
    <row r="177" spans="1:37" s="2" customFormat="1">
      <c r="A177" s="43">
        <v>139</v>
      </c>
      <c r="B177" s="27" t="s">
        <v>69</v>
      </c>
      <c r="C177" s="27"/>
      <c r="D177" s="27"/>
      <c r="E177" s="90"/>
      <c r="F177" s="90"/>
      <c r="G177" s="90"/>
      <c r="H177" s="90"/>
      <c r="I177" s="90"/>
      <c r="J177" s="90"/>
      <c r="K177" s="90"/>
      <c r="L177" s="90"/>
      <c r="M177" s="90"/>
      <c r="N177" s="90"/>
      <c r="O177" s="27"/>
      <c r="P177" s="27">
        <f>SUM(P166:P176)</f>
        <v>32402</v>
      </c>
      <c r="Q177" s="27">
        <f>SUM(Q166:Q176)</f>
        <v>32950</v>
      </c>
      <c r="R177" s="27">
        <f>SUM(R166:R176)</f>
        <v>-548</v>
      </c>
      <c r="S177" s="28">
        <f t="shared" si="58"/>
        <v>-1.6631259484066768E-2</v>
      </c>
      <c r="U177" s="27">
        <f>SUM(U166:U176)</f>
        <v>26632.250000000004</v>
      </c>
      <c r="V177" s="27">
        <f>SUM(V166:V176)</f>
        <v>28491.7</v>
      </c>
      <c r="W177" s="28">
        <f t="shared" si="59"/>
        <v>-6.5262866027650052E-2</v>
      </c>
      <c r="X177" s="74"/>
      <c r="Y177" s="61"/>
      <c r="AK177" s="1"/>
    </row>
    <row r="178" spans="1:37" s="2" customFormat="1" ht="6.75" customHeight="1">
      <c r="A178" s="43">
        <v>140</v>
      </c>
      <c r="B178" s="15"/>
      <c r="C178" s="15"/>
      <c r="D178" s="15"/>
      <c r="E178" s="80"/>
      <c r="F178" s="80"/>
      <c r="G178" s="80"/>
      <c r="H178" s="80"/>
      <c r="I178" s="80"/>
      <c r="J178" s="80"/>
      <c r="K178" s="80"/>
      <c r="L178" s="80"/>
      <c r="M178" s="80"/>
      <c r="N178" s="80"/>
      <c r="O178" s="15"/>
      <c r="P178" s="15"/>
      <c r="Q178" s="15"/>
      <c r="R178" s="15"/>
      <c r="S178" s="18"/>
      <c r="U178" s="15"/>
      <c r="V178" s="15"/>
      <c r="W178" s="18"/>
      <c r="X178" s="74"/>
      <c r="Y178" s="61"/>
    </row>
    <row r="179" spans="1:37">
      <c r="A179" s="43">
        <v>141</v>
      </c>
      <c r="B179" s="2" t="s">
        <v>70</v>
      </c>
      <c r="S179" s="5"/>
      <c r="X179" s="73"/>
      <c r="Y179" s="59"/>
    </row>
    <row r="180" spans="1:37" ht="14" customHeight="1">
      <c r="A180" s="43">
        <v>142</v>
      </c>
      <c r="C180" s="398" t="s">
        <v>71</v>
      </c>
      <c r="D180" s="399"/>
      <c r="E180" s="400"/>
      <c r="F180" s="401"/>
      <c r="G180" s="401"/>
      <c r="H180" s="401"/>
      <c r="I180" s="401"/>
      <c r="J180" s="401"/>
      <c r="K180" s="401"/>
      <c r="L180" s="401"/>
      <c r="M180" s="401"/>
      <c r="N180" s="401"/>
      <c r="O180" s="398"/>
      <c r="P180" s="406">
        <v>13400</v>
      </c>
      <c r="Q180" s="406">
        <v>12758</v>
      </c>
      <c r="R180" s="403">
        <f t="shared" ref="R180:R188" si="62">+P180-Q180</f>
        <v>642</v>
      </c>
      <c r="S180" s="404">
        <f t="shared" ref="S180:S190" si="63">IF(Q180=0,"NA",(+P180-Q180)/Q180)</f>
        <v>5.0321366985420911E-2</v>
      </c>
      <c r="T180" s="398"/>
      <c r="U180" s="402">
        <v>9639.25</v>
      </c>
      <c r="V180" s="402">
        <v>9568.5</v>
      </c>
      <c r="W180" s="404">
        <f t="shared" ref="W180:W190" si="64">IF(V180=0,"NA",(+U180-V180)/V180)</f>
        <v>7.3940534043998533E-3</v>
      </c>
      <c r="X180" s="547" t="s">
        <v>542</v>
      </c>
      <c r="Y180" s="58" t="s">
        <v>141</v>
      </c>
      <c r="AG180" s="1">
        <f t="shared" ref="AG180:AG185" si="65">+$P180</f>
        <v>13400</v>
      </c>
      <c r="AK180" s="1">
        <f t="shared" ref="AK180:AK185" si="66">+$U180</f>
        <v>9639.25</v>
      </c>
    </row>
    <row r="181" spans="1:37">
      <c r="C181" s="233"/>
      <c r="D181" s="245"/>
      <c r="E181" s="246"/>
      <c r="F181" s="247"/>
      <c r="G181" s="247"/>
      <c r="H181" s="247"/>
      <c r="I181" s="247"/>
      <c r="J181" s="247"/>
      <c r="K181" s="247"/>
      <c r="L181" s="247"/>
      <c r="M181" s="247"/>
      <c r="N181" s="247"/>
      <c r="O181" s="233"/>
      <c r="P181" s="258"/>
      <c r="Q181" s="258"/>
      <c r="R181" s="231"/>
      <c r="S181" s="232"/>
      <c r="T181" s="233"/>
      <c r="U181" s="230"/>
      <c r="V181" s="230"/>
      <c r="W181" s="232"/>
      <c r="X181" s="234" t="s">
        <v>400</v>
      </c>
      <c r="Y181" s="58"/>
    </row>
    <row r="182" spans="1:37">
      <c r="A182" s="43">
        <v>143</v>
      </c>
      <c r="C182" s="243" t="s">
        <v>72</v>
      </c>
      <c r="D182" s="251"/>
      <c r="E182" s="252"/>
      <c r="F182" s="253"/>
      <c r="G182" s="253"/>
      <c r="H182" s="253"/>
      <c r="I182" s="253"/>
      <c r="J182" s="253"/>
      <c r="K182" s="253"/>
      <c r="L182" s="253"/>
      <c r="M182" s="253"/>
      <c r="N182" s="253"/>
      <c r="O182" s="243"/>
      <c r="P182" s="240">
        <v>6000</v>
      </c>
      <c r="Q182" s="240">
        <v>5000</v>
      </c>
      <c r="R182" s="241">
        <f t="shared" si="62"/>
        <v>1000</v>
      </c>
      <c r="S182" s="242">
        <f t="shared" si="63"/>
        <v>0.2</v>
      </c>
      <c r="T182" s="243"/>
      <c r="U182" s="240">
        <v>4683.2</v>
      </c>
      <c r="V182" s="240">
        <v>3333.32</v>
      </c>
      <c r="W182" s="242">
        <f t="shared" si="64"/>
        <v>0.40496561986247931</v>
      </c>
      <c r="X182" s="645" t="s">
        <v>562</v>
      </c>
      <c r="Y182" s="58"/>
      <c r="AG182" s="1">
        <f t="shared" si="65"/>
        <v>6000</v>
      </c>
      <c r="AK182" s="1">
        <f t="shared" si="66"/>
        <v>4683.2</v>
      </c>
    </row>
    <row r="183" spans="1:37">
      <c r="A183" s="43">
        <v>159</v>
      </c>
      <c r="C183" s="243" t="s">
        <v>97</v>
      </c>
      <c r="D183" s="251"/>
      <c r="E183" s="252"/>
      <c r="F183" s="253"/>
      <c r="G183" s="253"/>
      <c r="H183" s="253"/>
      <c r="I183" s="253"/>
      <c r="J183" s="253"/>
      <c r="K183" s="253"/>
      <c r="L183" s="253"/>
      <c r="M183" s="253"/>
      <c r="N183" s="253"/>
      <c r="O183" s="243"/>
      <c r="P183" s="240">
        <v>4500</v>
      </c>
      <c r="Q183" s="240">
        <v>4500</v>
      </c>
      <c r="R183" s="241">
        <f t="shared" si="62"/>
        <v>0</v>
      </c>
      <c r="S183" s="242">
        <f t="shared" si="63"/>
        <v>0</v>
      </c>
      <c r="T183" s="243"/>
      <c r="U183" s="240">
        <v>2623.8</v>
      </c>
      <c r="V183" s="240">
        <v>3750</v>
      </c>
      <c r="W183" s="242">
        <f t="shared" si="64"/>
        <v>-0.30031999999999998</v>
      </c>
      <c r="X183" s="645" t="s">
        <v>534</v>
      </c>
      <c r="Y183" s="58"/>
      <c r="AG183" s="1">
        <f t="shared" si="65"/>
        <v>4500</v>
      </c>
      <c r="AK183" s="1">
        <f t="shared" si="66"/>
        <v>2623.8</v>
      </c>
    </row>
    <row r="184" spans="1:37">
      <c r="A184" s="43">
        <v>145</v>
      </c>
      <c r="C184" s="879" t="s">
        <v>100</v>
      </c>
      <c r="D184" s="879"/>
      <c r="E184" s="408"/>
      <c r="F184" s="408"/>
      <c r="G184" s="408"/>
      <c r="H184" s="408"/>
      <c r="I184" s="408"/>
      <c r="J184" s="408"/>
      <c r="K184" s="408"/>
      <c r="L184" s="408"/>
      <c r="M184" s="408"/>
      <c r="N184" s="408"/>
      <c r="O184" s="407"/>
      <c r="P184" s="257">
        <v>6000</v>
      </c>
      <c r="Q184" s="240">
        <v>6000</v>
      </c>
      <c r="R184" s="241">
        <f t="shared" si="62"/>
        <v>0</v>
      </c>
      <c r="S184" s="242">
        <f t="shared" si="63"/>
        <v>0</v>
      </c>
      <c r="T184" s="243"/>
      <c r="U184" s="240">
        <v>4780.12</v>
      </c>
      <c r="V184" s="240">
        <v>5000</v>
      </c>
      <c r="W184" s="242">
        <f t="shared" si="64"/>
        <v>-4.3976000000000022E-2</v>
      </c>
      <c r="X184" s="808" t="s">
        <v>534</v>
      </c>
      <c r="Y184" s="58"/>
      <c r="AG184" s="1">
        <f t="shared" si="65"/>
        <v>6000</v>
      </c>
      <c r="AK184" s="1">
        <f t="shared" si="66"/>
        <v>4780.12</v>
      </c>
    </row>
    <row r="185" spans="1:37">
      <c r="A185" s="43">
        <v>146</v>
      </c>
      <c r="C185" s="243" t="s">
        <v>73</v>
      </c>
      <c r="D185" s="251"/>
      <c r="E185" s="252"/>
      <c r="F185" s="253"/>
      <c r="G185" s="253"/>
      <c r="H185" s="253"/>
      <c r="I185" s="253"/>
      <c r="J185" s="253"/>
      <c r="K185" s="253"/>
      <c r="L185" s="253"/>
      <c r="M185" s="253"/>
      <c r="N185" s="253"/>
      <c r="O185" s="243"/>
      <c r="P185" s="240">
        <v>10000</v>
      </c>
      <c r="Q185" s="240">
        <v>10000</v>
      </c>
      <c r="R185" s="241">
        <f t="shared" si="62"/>
        <v>0</v>
      </c>
      <c r="S185" s="242">
        <f t="shared" si="63"/>
        <v>0</v>
      </c>
      <c r="T185" s="243"/>
      <c r="U185" s="257">
        <v>1222.2</v>
      </c>
      <c r="V185" s="240">
        <v>8333.2999999999993</v>
      </c>
      <c r="W185" s="242">
        <f t="shared" si="64"/>
        <v>-0.85333541334165341</v>
      </c>
      <c r="X185" s="547" t="s">
        <v>534</v>
      </c>
      <c r="Y185" s="58"/>
      <c r="AG185" s="1">
        <f t="shared" si="65"/>
        <v>10000</v>
      </c>
      <c r="AK185" s="1">
        <f t="shared" si="66"/>
        <v>1222.2</v>
      </c>
    </row>
    <row r="186" spans="1:37" hidden="1">
      <c r="C186" s="398"/>
      <c r="D186" s="399"/>
      <c r="E186" s="400"/>
      <c r="F186" s="401"/>
      <c r="G186" s="401"/>
      <c r="H186" s="401"/>
      <c r="I186" s="401"/>
      <c r="J186" s="401"/>
      <c r="K186" s="401"/>
      <c r="L186" s="401"/>
      <c r="M186" s="401"/>
      <c r="N186" s="401"/>
      <c r="O186" s="398"/>
      <c r="P186" s="402"/>
      <c r="Q186" s="402"/>
      <c r="R186" s="403"/>
      <c r="S186" s="404"/>
      <c r="T186" s="398"/>
      <c r="U186" s="406"/>
      <c r="V186" s="402"/>
      <c r="W186" s="404"/>
      <c r="X186" s="646"/>
      <c r="Y186" s="58"/>
    </row>
    <row r="187" spans="1:37" ht="42.75" hidden="1" customHeight="1">
      <c r="C187" s="233"/>
      <c r="D187" s="245"/>
      <c r="E187" s="246"/>
      <c r="F187" s="247"/>
      <c r="G187" s="247"/>
      <c r="H187" s="247"/>
      <c r="I187" s="247"/>
      <c r="J187" s="247"/>
      <c r="K187" s="247"/>
      <c r="L187" s="247"/>
      <c r="M187" s="247"/>
      <c r="N187" s="247"/>
      <c r="O187" s="233"/>
      <c r="P187" s="230"/>
      <c r="Q187" s="230"/>
      <c r="R187" s="231"/>
      <c r="S187" s="232"/>
      <c r="T187" s="233"/>
      <c r="U187" s="258"/>
      <c r="V187" s="230"/>
      <c r="W187" s="232"/>
      <c r="X187" s="234"/>
      <c r="Y187" s="58"/>
    </row>
    <row r="188" spans="1:37" hidden="1">
      <c r="A188" s="43">
        <v>149</v>
      </c>
      <c r="C188" s="1" t="s">
        <v>74</v>
      </c>
      <c r="P188" s="52">
        <v>0</v>
      </c>
      <c r="Q188" s="52">
        <v>0</v>
      </c>
      <c r="R188" s="38">
        <f t="shared" si="62"/>
        <v>0</v>
      </c>
      <c r="S188" s="4" t="str">
        <f t="shared" si="63"/>
        <v>NA</v>
      </c>
      <c r="U188" s="52">
        <v>0</v>
      </c>
      <c r="V188" s="52">
        <v>0</v>
      </c>
      <c r="W188" s="4" t="str">
        <f t="shared" si="64"/>
        <v>NA</v>
      </c>
      <c r="X188" s="74"/>
      <c r="Y188" s="62"/>
    </row>
    <row r="189" spans="1:37" s="2" customFormat="1">
      <c r="A189" s="43">
        <v>150</v>
      </c>
      <c r="B189" s="27" t="s">
        <v>75</v>
      </c>
      <c r="C189" s="27"/>
      <c r="D189" s="27"/>
      <c r="E189" s="90"/>
      <c r="F189" s="90"/>
      <c r="G189" s="90"/>
      <c r="H189" s="90"/>
      <c r="I189" s="90"/>
      <c r="J189" s="90"/>
      <c r="K189" s="90"/>
      <c r="L189" s="90"/>
      <c r="M189" s="90"/>
      <c r="N189" s="90"/>
      <c r="O189" s="27"/>
      <c r="P189" s="27">
        <f>SUM(P180:P188)</f>
        <v>39900</v>
      </c>
      <c r="Q189" s="27">
        <f>SUM(Q180:Q188)</f>
        <v>38258</v>
      </c>
      <c r="R189" s="27">
        <f>SUM(R180:R188)</f>
        <v>1642</v>
      </c>
      <c r="S189" s="28">
        <f t="shared" si="63"/>
        <v>4.2919128025511004E-2</v>
      </c>
      <c r="U189" s="27">
        <f>SUM(U180:U188)</f>
        <v>22948.57</v>
      </c>
      <c r="V189" s="27">
        <f>SUM(V180:V188)</f>
        <v>29985.119999999999</v>
      </c>
      <c r="W189" s="28">
        <f t="shared" si="64"/>
        <v>-0.23466806202543125</v>
      </c>
      <c r="X189" s="74"/>
      <c r="Y189" s="61"/>
      <c r="Z189" s="1"/>
    </row>
    <row r="190" spans="1:37">
      <c r="A190" s="43">
        <v>151</v>
      </c>
      <c r="B190" s="27" t="s">
        <v>76</v>
      </c>
      <c r="C190" s="27"/>
      <c r="D190" s="27"/>
      <c r="E190" s="90"/>
      <c r="F190" s="90"/>
      <c r="G190" s="90"/>
      <c r="H190" s="90"/>
      <c r="I190" s="90"/>
      <c r="J190" s="90"/>
      <c r="K190" s="90"/>
      <c r="L190" s="90"/>
      <c r="M190" s="90"/>
      <c r="N190" s="90"/>
      <c r="O190" s="27"/>
      <c r="P190" s="27">
        <f>+P177+P189</f>
        <v>72302</v>
      </c>
      <c r="Q190" s="27">
        <f>+Q177+Q189</f>
        <v>71208</v>
      </c>
      <c r="R190" s="27">
        <f>+R177+R189</f>
        <v>1094</v>
      </c>
      <c r="S190" s="28">
        <f t="shared" si="63"/>
        <v>1.5363442309852825E-2</v>
      </c>
      <c r="U190" s="27">
        <f>+U177+U189</f>
        <v>49580.820000000007</v>
      </c>
      <c r="V190" s="27">
        <f>+V177+V189</f>
        <v>58476.82</v>
      </c>
      <c r="W190" s="28">
        <f t="shared" si="64"/>
        <v>-0.15212865542278106</v>
      </c>
      <c r="X190" s="73"/>
      <c r="Y190" s="59"/>
    </row>
    <row r="191" spans="1:37" ht="4.5" customHeight="1">
      <c r="A191" s="43">
        <v>152</v>
      </c>
      <c r="S191" s="5"/>
      <c r="X191" s="73"/>
      <c r="Y191" s="59"/>
    </row>
    <row r="192" spans="1:37" ht="18.5">
      <c r="A192" s="43">
        <v>154</v>
      </c>
      <c r="B192" s="7" t="s">
        <v>78</v>
      </c>
      <c r="S192" s="5"/>
      <c r="X192" s="73"/>
      <c r="Y192" s="59"/>
    </row>
    <row r="193" spans="1:37">
      <c r="C193" s="233" t="s">
        <v>79</v>
      </c>
      <c r="D193" s="245"/>
      <c r="E193" s="246"/>
      <c r="F193" s="247"/>
      <c r="G193" s="247"/>
      <c r="H193" s="247"/>
      <c r="I193" s="247"/>
      <c r="J193" s="247"/>
      <c r="K193" s="247"/>
      <c r="L193" s="247"/>
      <c r="M193" s="247"/>
      <c r="N193" s="247"/>
      <c r="O193" s="233"/>
      <c r="P193" s="258">
        <v>0</v>
      </c>
      <c r="Q193" s="258">
        <v>-8185</v>
      </c>
      <c r="R193" s="231">
        <f t="shared" ref="R193:R198" si="67">+P193-Q193</f>
        <v>8185</v>
      </c>
      <c r="S193" s="232">
        <f t="shared" ref="S193:S199" si="68">IF(Q193=0,"NA",(+P193-Q193)/Q193)</f>
        <v>-1</v>
      </c>
      <c r="T193" s="233"/>
      <c r="U193" s="230">
        <v>28100</v>
      </c>
      <c r="V193" s="230">
        <v>0</v>
      </c>
      <c r="W193" s="232" t="str">
        <f t="shared" ref="W193:W198" si="69">IF(V193=0,"NA",(+U193-V193)/V193)</f>
        <v>NA</v>
      </c>
      <c r="X193" s="234" t="s">
        <v>566</v>
      </c>
      <c r="Y193" s="58"/>
    </row>
    <row r="194" spans="1:37" hidden="1">
      <c r="C194" s="238" t="s">
        <v>184</v>
      </c>
      <c r="D194" s="248"/>
      <c r="E194" s="249"/>
      <c r="F194" s="250"/>
      <c r="G194" s="250"/>
      <c r="H194" s="250"/>
      <c r="I194" s="250"/>
      <c r="J194" s="250"/>
      <c r="K194" s="250"/>
      <c r="L194" s="250"/>
      <c r="M194" s="250"/>
      <c r="N194" s="250"/>
      <c r="O194" s="238"/>
      <c r="P194" s="256">
        <v>0</v>
      </c>
      <c r="Q194" s="256">
        <v>0</v>
      </c>
      <c r="R194" s="236">
        <f t="shared" si="67"/>
        <v>0</v>
      </c>
      <c r="S194" s="237" t="str">
        <f t="shared" si="68"/>
        <v>NA</v>
      </c>
      <c r="T194" s="238"/>
      <c r="U194" s="235">
        <v>0</v>
      </c>
      <c r="V194" s="235">
        <v>0</v>
      </c>
      <c r="W194" s="237" t="str">
        <f t="shared" si="69"/>
        <v>NA</v>
      </c>
      <c r="X194" s="239"/>
      <c r="Y194" s="58"/>
    </row>
    <row r="195" spans="1:37">
      <c r="A195" s="43">
        <v>156</v>
      </c>
      <c r="C195" s="238" t="s">
        <v>149</v>
      </c>
      <c r="D195" s="248"/>
      <c r="E195" s="249"/>
      <c r="F195" s="250"/>
      <c r="G195" s="250"/>
      <c r="H195" s="250"/>
      <c r="I195" s="250"/>
      <c r="J195" s="250"/>
      <c r="K195" s="250"/>
      <c r="L195" s="250"/>
      <c r="M195" s="250"/>
      <c r="N195" s="250"/>
      <c r="O195" s="238"/>
      <c r="P195" s="256">
        <v>0</v>
      </c>
      <c r="Q195" s="256">
        <v>0</v>
      </c>
      <c r="R195" s="236">
        <f t="shared" si="67"/>
        <v>0</v>
      </c>
      <c r="S195" s="237" t="str">
        <f t="shared" si="68"/>
        <v>NA</v>
      </c>
      <c r="T195" s="238"/>
      <c r="U195" s="256">
        <v>0</v>
      </c>
      <c r="V195" s="235">
        <v>0</v>
      </c>
      <c r="W195" s="237" t="str">
        <f t="shared" si="69"/>
        <v>NA</v>
      </c>
      <c r="X195" s="239" t="s">
        <v>567</v>
      </c>
      <c r="Y195" s="58"/>
    </row>
    <row r="196" spans="1:37">
      <c r="A196" s="43">
        <v>157</v>
      </c>
      <c r="C196" s="238" t="s">
        <v>154</v>
      </c>
      <c r="D196" s="248"/>
      <c r="E196" s="249"/>
      <c r="F196" s="250"/>
      <c r="G196" s="250"/>
      <c r="H196" s="250"/>
      <c r="I196" s="250"/>
      <c r="J196" s="250"/>
      <c r="K196" s="250"/>
      <c r="L196" s="250"/>
      <c r="M196" s="250"/>
      <c r="N196" s="250"/>
      <c r="O196" s="238"/>
      <c r="P196" s="256">
        <v>0</v>
      </c>
      <c r="Q196" s="256">
        <v>0</v>
      </c>
      <c r="R196" s="236">
        <f t="shared" si="67"/>
        <v>0</v>
      </c>
      <c r="S196" s="237" t="str">
        <f t="shared" si="68"/>
        <v>NA</v>
      </c>
      <c r="T196" s="238"/>
      <c r="U196" s="256">
        <v>0</v>
      </c>
      <c r="V196" s="235">
        <v>0</v>
      </c>
      <c r="W196" s="296" t="s">
        <v>477</v>
      </c>
      <c r="X196" s="239" t="s">
        <v>568</v>
      </c>
      <c r="Y196" s="59"/>
    </row>
    <row r="197" spans="1:37">
      <c r="A197" s="43">
        <v>157</v>
      </c>
      <c r="C197" s="243" t="s">
        <v>179</v>
      </c>
      <c r="D197" s="251"/>
      <c r="E197" s="252"/>
      <c r="F197" s="253"/>
      <c r="G197" s="253"/>
      <c r="H197" s="253"/>
      <c r="I197" s="253"/>
      <c r="J197" s="253"/>
      <c r="K197" s="253"/>
      <c r="L197" s="253"/>
      <c r="M197" s="253"/>
      <c r="N197" s="253"/>
      <c r="O197" s="243"/>
      <c r="P197" s="257">
        <v>0</v>
      </c>
      <c r="Q197" s="257">
        <v>0</v>
      </c>
      <c r="R197" s="241">
        <f t="shared" si="67"/>
        <v>0</v>
      </c>
      <c r="S197" s="242" t="str">
        <f t="shared" si="68"/>
        <v>NA</v>
      </c>
      <c r="T197" s="243"/>
      <c r="U197" s="240">
        <v>28100</v>
      </c>
      <c r="V197" s="240">
        <v>0</v>
      </c>
      <c r="W197" s="242" t="str">
        <f t="shared" si="69"/>
        <v>NA</v>
      </c>
      <c r="X197" s="244" t="s">
        <v>592</v>
      </c>
      <c r="Y197" s="59"/>
      <c r="Z197" s="2"/>
    </row>
    <row r="198" spans="1:37" hidden="1">
      <c r="A198" s="43">
        <v>158</v>
      </c>
      <c r="C198" s="1" t="s">
        <v>80</v>
      </c>
      <c r="P198" s="54">
        <v>0</v>
      </c>
      <c r="Q198" s="54">
        <v>0</v>
      </c>
      <c r="R198" s="38">
        <f t="shared" si="67"/>
        <v>0</v>
      </c>
      <c r="S198" s="4" t="str">
        <f t="shared" si="68"/>
        <v>NA</v>
      </c>
      <c r="U198" s="52">
        <v>0</v>
      </c>
      <c r="V198" s="52">
        <v>0</v>
      </c>
      <c r="W198" s="4" t="str">
        <f t="shared" si="69"/>
        <v>NA</v>
      </c>
      <c r="X198" s="62"/>
      <c r="Y198" s="62" t="s">
        <v>137</v>
      </c>
      <c r="Z198" s="2">
        <v>16</v>
      </c>
    </row>
    <row r="199" spans="1:37" s="2" customFormat="1">
      <c r="A199" s="1"/>
      <c r="B199" s="29" t="s">
        <v>81</v>
      </c>
      <c r="C199" s="29"/>
      <c r="D199" s="29"/>
      <c r="E199" s="91"/>
      <c r="F199" s="91"/>
      <c r="G199" s="91"/>
      <c r="H199" s="91"/>
      <c r="I199" s="91"/>
      <c r="J199" s="91"/>
      <c r="K199" s="91"/>
      <c r="L199" s="91"/>
      <c r="M199" s="91"/>
      <c r="N199" s="91"/>
      <c r="O199" s="29"/>
      <c r="P199" s="29">
        <f>SUM(P193:P198)</f>
        <v>0</v>
      </c>
      <c r="Q199" s="29">
        <f>SUM(Q193:Q198)</f>
        <v>-8185</v>
      </c>
      <c r="R199" s="29">
        <f>SUM(R193:R198)</f>
        <v>8185</v>
      </c>
      <c r="S199" s="30">
        <f t="shared" si="68"/>
        <v>-1</v>
      </c>
      <c r="U199" s="29">
        <f>SUM(U193:U198)</f>
        <v>56200</v>
      </c>
      <c r="V199" s="29">
        <f>SUM(V193:V198)</f>
        <v>0</v>
      </c>
      <c r="W199" s="782" t="s">
        <v>477</v>
      </c>
      <c r="X199" s="74"/>
      <c r="Y199" s="61"/>
      <c r="Z199" s="1"/>
    </row>
    <row r="200" spans="1:37" ht="7.5" customHeight="1">
      <c r="A200" s="43">
        <v>160</v>
      </c>
      <c r="D200" s="1"/>
      <c r="E200" s="39"/>
      <c r="S200" s="5"/>
      <c r="X200" s="73"/>
      <c r="Y200" s="59"/>
    </row>
    <row r="201" spans="1:37">
      <c r="A201" s="43">
        <v>161</v>
      </c>
      <c r="B201" s="31" t="s">
        <v>82</v>
      </c>
      <c r="C201" s="32"/>
      <c r="D201" s="32"/>
      <c r="E201" s="92"/>
      <c r="F201" s="92"/>
      <c r="G201" s="92"/>
      <c r="H201" s="92"/>
      <c r="I201" s="92"/>
      <c r="J201" s="92"/>
      <c r="K201" s="92"/>
      <c r="L201" s="92"/>
      <c r="M201" s="92"/>
      <c r="N201" s="92"/>
      <c r="O201" s="32"/>
      <c r="P201" s="31">
        <f>P42+P99+P162+P190+P199</f>
        <v>471621</v>
      </c>
      <c r="Q201" s="31">
        <f>+Q99+Q162+Q190+Q199+Q42</f>
        <v>498500</v>
      </c>
      <c r="R201" s="31">
        <f>+R99+R162+R190+R199+R42</f>
        <v>-26879</v>
      </c>
      <c r="S201" s="33">
        <f>IF(Q201=0,"NA",(+P201-Q201)/Q201)</f>
        <v>-5.3919759277833504E-2</v>
      </c>
      <c r="U201" s="31">
        <f>+U99+U162+U190+U199+U42</f>
        <v>393057.37</v>
      </c>
      <c r="V201" s="31">
        <f>+V99+V162+V190+V199+V42</f>
        <v>419499.57000000007</v>
      </c>
      <c r="W201" s="33">
        <f>IF(V201=0,"NA",(+U201-V201)/V201)</f>
        <v>-6.3032722536521466E-2</v>
      </c>
      <c r="X201" s="73"/>
      <c r="Y201" s="59"/>
      <c r="AD201" s="389">
        <f>+SUM(AD5:AD199)-AD89-AD112-AD124-AD145-AD147</f>
        <v>160002.50200000001</v>
      </c>
      <c r="AE201" s="389">
        <f>+SUM(AE5:AE199)-AE89-AE112-AE124-AE145-AE147</f>
        <v>88131.502000000008</v>
      </c>
      <c r="AF201" s="389">
        <f>+SUM(AF5:AF199)-AF89-AF112-AF124-AF145-AF147</f>
        <v>115824.69600000001</v>
      </c>
      <c r="AG201" s="389">
        <f>+SUM(AG5:AG199)-AG89-AG112-AG124-AG145-AG147</f>
        <v>107662.29999999999</v>
      </c>
      <c r="AH201" s="389">
        <f>+SUM(AH5:AH199)-AH89-AH112-AH124-AH145-AH147</f>
        <v>114090.80422999998</v>
      </c>
      <c r="AI201" s="389">
        <f>+SUM(AI5:AI199)-AI89-AI112-AI124-AI145-AI147</f>
        <v>57669.994229999997</v>
      </c>
      <c r="AJ201" s="389">
        <f>+SUM(AJ5:AJ199)-AJ89-AJ112-AJ124-AJ145-AJ147</f>
        <v>93593.141540000011</v>
      </c>
      <c r="AK201" s="389">
        <f>+SUM(AK5:AK199)-AK89-AK112-AK124-AK145-AK147</f>
        <v>71588.539999999994</v>
      </c>
    </row>
    <row r="202" spans="1:37">
      <c r="A202" s="43">
        <v>162</v>
      </c>
      <c r="B202" s="31" t="s">
        <v>83</v>
      </c>
      <c r="C202" s="32"/>
      <c r="D202" s="32"/>
      <c r="E202" s="92"/>
      <c r="F202" s="92"/>
      <c r="G202" s="92"/>
      <c r="H202" s="92"/>
      <c r="I202" s="92"/>
      <c r="J202" s="92"/>
      <c r="K202" s="92"/>
      <c r="L202" s="92"/>
      <c r="M202" s="92"/>
      <c r="N202" s="92"/>
      <c r="O202" s="32"/>
      <c r="P202" s="31">
        <f>ROUND(+P23-P201,0)</f>
        <v>-701</v>
      </c>
      <c r="Q202" s="31">
        <f>ROUND(+Q23-Q201,0)</f>
        <v>0</v>
      </c>
      <c r="R202" s="31">
        <f>ROUND(+R23-R201,0)</f>
        <v>-701</v>
      </c>
      <c r="S202" s="33" t="str">
        <f>IF(Q202=0,"NA",(+P202-Q202)/Q202)</f>
        <v>NA</v>
      </c>
      <c r="U202" s="31">
        <f>+U23-U201</f>
        <v>57468.580000000016</v>
      </c>
      <c r="V202" s="31">
        <f>+V23-V201</f>
        <v>-6321.5000000000582</v>
      </c>
      <c r="W202" s="789" t="s">
        <v>477</v>
      </c>
      <c r="X202" s="73"/>
      <c r="Y202" s="59"/>
      <c r="AD202" s="1">
        <f>SUM(AD201:AG201)-P201</f>
        <v>0</v>
      </c>
    </row>
    <row r="203" spans="1:37" ht="15" thickBot="1">
      <c r="S203" s="5"/>
      <c r="X203" s="73"/>
      <c r="Y203" s="59"/>
    </row>
    <row r="204" spans="1:37">
      <c r="B204" s="105" t="s">
        <v>164</v>
      </c>
      <c r="C204" s="106"/>
      <c r="D204" s="106"/>
      <c r="E204" s="107"/>
      <c r="F204" s="107"/>
      <c r="G204" s="107"/>
      <c r="H204" s="107"/>
      <c r="I204" s="107"/>
      <c r="J204" s="107"/>
      <c r="K204" s="107"/>
      <c r="L204" s="107"/>
      <c r="M204" s="107"/>
      <c r="N204" s="107"/>
      <c r="O204" s="106"/>
      <c r="P204" s="108">
        <f>+P23-P21</f>
        <v>470920</v>
      </c>
      <c r="Q204" s="108">
        <f>+Q23-Q21</f>
        <v>498500</v>
      </c>
      <c r="R204" s="109">
        <f>+P204-Q204</f>
        <v>-27580</v>
      </c>
      <c r="S204" s="110">
        <f>IF(Q204=0,"NA",(+P204-Q204)/Q204)</f>
        <v>-5.5325977933801403E-2</v>
      </c>
      <c r="T204" s="106"/>
      <c r="U204" s="108">
        <f>+U23-U21</f>
        <v>450525.95</v>
      </c>
      <c r="V204" s="108">
        <f>+V23-V21</f>
        <v>413178.07</v>
      </c>
      <c r="W204" s="111">
        <f>IF(V204=0,"NA",(+U204-V204)/V204)</f>
        <v>9.039172868008219E-2</v>
      </c>
      <c r="X204" s="62" t="s">
        <v>188</v>
      </c>
      <c r="Y204" s="59"/>
    </row>
    <row r="205" spans="1:37">
      <c r="B205" s="112" t="s">
        <v>156</v>
      </c>
      <c r="C205" s="100"/>
      <c r="D205" s="100"/>
      <c r="E205" s="101"/>
      <c r="F205" s="101"/>
      <c r="G205" s="101"/>
      <c r="H205" s="101"/>
      <c r="I205" s="101"/>
      <c r="J205" s="101"/>
      <c r="K205" s="101"/>
      <c r="L205" s="101"/>
      <c r="M205" s="101"/>
      <c r="N205" s="101"/>
      <c r="O205" s="100"/>
      <c r="P205" s="102">
        <f>+P201-P199</f>
        <v>471621</v>
      </c>
      <c r="Q205" s="102">
        <f>+Q201-Q199</f>
        <v>506685</v>
      </c>
      <c r="R205" s="103">
        <f>+P205-Q205</f>
        <v>-35064</v>
      </c>
      <c r="S205" s="104">
        <f>IF(Q205=0,"NA",(+P205-Q205)/Q205)</f>
        <v>-6.9202759110690071E-2</v>
      </c>
      <c r="T205" s="100"/>
      <c r="U205" s="102">
        <f>+U201-U199</f>
        <v>336857.37</v>
      </c>
      <c r="V205" s="102">
        <f>+V201-V199</f>
        <v>419499.57000000007</v>
      </c>
      <c r="W205" s="113">
        <f>IF(V205=0,"NA",(+U205-V205)/V205)</f>
        <v>-0.19700187058594615</v>
      </c>
      <c r="X205" s="73"/>
      <c r="Y205" s="59"/>
    </row>
    <row r="206" spans="1:37" ht="15" thickBot="1">
      <c r="B206" s="114" t="s">
        <v>165</v>
      </c>
      <c r="C206" s="115"/>
      <c r="D206" s="115"/>
      <c r="E206" s="116"/>
      <c r="F206" s="116"/>
      <c r="G206" s="116"/>
      <c r="H206" s="117"/>
      <c r="I206" s="117"/>
      <c r="J206" s="117"/>
      <c r="K206" s="117"/>
      <c r="L206" s="117"/>
      <c r="M206" s="117"/>
      <c r="N206" s="117"/>
      <c r="O206" s="115"/>
      <c r="P206" s="118">
        <f>+P204-P205</f>
        <v>-701</v>
      </c>
      <c r="Q206" s="118">
        <f>+Q204-Q205</f>
        <v>-8185</v>
      </c>
      <c r="R206" s="119">
        <f>+P206-Q206</f>
        <v>7484</v>
      </c>
      <c r="S206" s="120">
        <f>IF(Q206=0,"NA",(+P206-Q206)/Q206)</f>
        <v>-0.91435552840562007</v>
      </c>
      <c r="T206" s="115"/>
      <c r="U206" s="118">
        <f>+U204-U205</f>
        <v>113668.58000000002</v>
      </c>
      <c r="V206" s="118">
        <f>+V204-V205</f>
        <v>-6321.5000000000582</v>
      </c>
      <c r="W206" s="783" t="s">
        <v>477</v>
      </c>
      <c r="X206" s="73"/>
      <c r="Y206" s="59"/>
    </row>
    <row r="207" spans="1:37">
      <c r="S207" s="5"/>
      <c r="X207" s="59"/>
      <c r="Y207" s="59"/>
    </row>
    <row r="208" spans="1:37">
      <c r="H208" s="93"/>
      <c r="I208" s="93"/>
      <c r="J208" s="93"/>
      <c r="K208" s="93"/>
      <c r="L208" s="93"/>
      <c r="M208" s="93"/>
      <c r="N208" s="93"/>
      <c r="W208" s="1"/>
      <c r="X208" s="59"/>
      <c r="Y208" s="59"/>
    </row>
    <row r="209" spans="1:26">
      <c r="S209" s="5"/>
      <c r="X209" s="59"/>
      <c r="Y209" s="59"/>
    </row>
    <row r="210" spans="1:26">
      <c r="D210" s="75"/>
      <c r="E210" s="94"/>
      <c r="S210" s="5"/>
      <c r="X210" s="59"/>
      <c r="Y210" s="59"/>
    </row>
    <row r="211" spans="1:26">
      <c r="S211" s="5"/>
      <c r="X211" s="59"/>
      <c r="Y211" s="59"/>
    </row>
    <row r="212" spans="1:26">
      <c r="A212" s="1"/>
      <c r="B212" s="1"/>
      <c r="S212" s="5"/>
      <c r="W212" s="1"/>
      <c r="X212" s="67"/>
      <c r="Y212" s="67"/>
      <c r="Z212" s="2"/>
    </row>
    <row r="213" spans="1:26">
      <c r="A213" s="1"/>
      <c r="B213" s="1"/>
      <c r="S213" s="5"/>
      <c r="W213" s="1"/>
      <c r="X213" s="67"/>
      <c r="Y213" s="67"/>
    </row>
    <row r="214" spans="1:26">
      <c r="A214" s="1"/>
      <c r="B214" s="1"/>
      <c r="S214" s="5"/>
      <c r="W214" s="1"/>
      <c r="X214" s="67"/>
      <c r="Y214" s="67"/>
    </row>
    <row r="215" spans="1:26">
      <c r="B215" s="1"/>
      <c r="S215" s="5"/>
      <c r="W215" s="1"/>
      <c r="X215" s="67"/>
      <c r="Y215" s="67"/>
    </row>
    <row r="216" spans="1:26">
      <c r="A216" s="1"/>
      <c r="B216" s="1"/>
      <c r="S216" s="5"/>
      <c r="W216" s="1"/>
      <c r="X216" s="67"/>
      <c r="Y216" s="67"/>
    </row>
    <row r="217" spans="1:26">
      <c r="A217" s="1"/>
      <c r="B217" s="1"/>
      <c r="S217" s="5"/>
      <c r="W217" s="1"/>
      <c r="X217" s="67"/>
      <c r="Y217" s="67"/>
    </row>
    <row r="218" spans="1:26">
      <c r="A218" s="1"/>
      <c r="B218" s="1"/>
      <c r="S218" s="5"/>
      <c r="W218" s="1"/>
      <c r="X218" s="67"/>
      <c r="Y218" s="38"/>
    </row>
    <row r="219" spans="1:26">
      <c r="A219" s="1"/>
      <c r="B219" s="1"/>
      <c r="S219" s="5"/>
      <c r="W219" s="1"/>
      <c r="X219" s="67"/>
      <c r="Y219" s="38"/>
    </row>
    <row r="220" spans="1:26">
      <c r="A220" s="1"/>
      <c r="B220" s="1"/>
      <c r="S220" s="5"/>
      <c r="W220" s="1"/>
      <c r="X220" s="67"/>
      <c r="Y220" s="38"/>
    </row>
    <row r="221" spans="1:26">
      <c r="A221" s="1"/>
      <c r="B221" s="1"/>
      <c r="S221" s="5"/>
      <c r="W221" s="1"/>
      <c r="X221" s="67"/>
      <c r="Y221" s="38"/>
    </row>
    <row r="222" spans="1:26">
      <c r="A222" s="1"/>
      <c r="B222" s="1"/>
      <c r="S222" s="5"/>
      <c r="W222" s="1"/>
      <c r="X222" s="67"/>
      <c r="Y222" s="38"/>
    </row>
    <row r="223" spans="1:26">
      <c r="A223" s="1"/>
      <c r="B223" s="1"/>
      <c r="S223" s="5"/>
      <c r="W223" s="1"/>
      <c r="X223" s="67"/>
      <c r="Y223" s="38"/>
    </row>
    <row r="224" spans="1:26">
      <c r="A224" s="1"/>
      <c r="B224" s="1"/>
      <c r="S224" s="5"/>
      <c r="W224" s="1"/>
      <c r="X224" s="67"/>
      <c r="Y224" s="38"/>
    </row>
    <row r="225" spans="1:25">
      <c r="A225" s="1"/>
      <c r="B225" s="1"/>
      <c r="S225" s="5"/>
      <c r="W225" s="1"/>
      <c r="X225" s="68"/>
      <c r="Y225" s="38"/>
    </row>
    <row r="226" spans="1:25">
      <c r="Y226" s="38"/>
    </row>
    <row r="227" spans="1:25">
      <c r="Y227" s="47"/>
    </row>
    <row r="228" spans="1:25">
      <c r="Y228" s="47"/>
    </row>
    <row r="229" spans="1:25">
      <c r="Y229" s="47"/>
    </row>
    <row r="230" spans="1:25">
      <c r="Y230" s="47"/>
    </row>
    <row r="231" spans="1:25">
      <c r="Y231" s="47"/>
    </row>
    <row r="232" spans="1:25">
      <c r="Y232" s="47"/>
    </row>
    <row r="233" spans="1:25">
      <c r="Y233" s="47"/>
    </row>
    <row r="234" spans="1:25">
      <c r="Y234" s="47"/>
    </row>
    <row r="235" spans="1:25">
      <c r="Y235" s="47"/>
    </row>
    <row r="236" spans="1:25">
      <c r="Y236" s="47"/>
    </row>
    <row r="237" spans="1:25">
      <c r="Y237" s="47"/>
    </row>
    <row r="238" spans="1:25">
      <c r="Y238" s="47"/>
    </row>
    <row r="239" spans="1:25">
      <c r="Y239" s="47"/>
    </row>
    <row r="240" spans="1:25">
      <c r="Y240" s="47"/>
    </row>
    <row r="241" spans="25:25">
      <c r="Y241" s="47"/>
    </row>
    <row r="242" spans="25:25">
      <c r="Y242" s="47"/>
    </row>
    <row r="243" spans="25:25">
      <c r="Y243" s="47"/>
    </row>
    <row r="244" spans="25:25">
      <c r="Y244" s="47"/>
    </row>
    <row r="245" spans="25:25">
      <c r="Y245" s="47"/>
    </row>
    <row r="246" spans="25:25">
      <c r="Y246" s="47"/>
    </row>
    <row r="247" spans="25:25">
      <c r="Y247" s="47"/>
    </row>
    <row r="248" spans="25:25">
      <c r="Y248" s="47"/>
    </row>
    <row r="249" spans="25:25">
      <c r="Y249" s="47"/>
    </row>
    <row r="250" spans="25:25">
      <c r="Y250" s="47"/>
    </row>
    <row r="251" spans="25:25">
      <c r="Y251" s="47"/>
    </row>
    <row r="252" spans="25:25">
      <c r="Y252" s="47"/>
    </row>
    <row r="253" spans="25:25">
      <c r="Y253" s="47"/>
    </row>
    <row r="254" spans="25:25">
      <c r="Y254" s="47"/>
    </row>
  </sheetData>
  <mergeCells count="27">
    <mergeCell ref="X102:X103"/>
    <mergeCell ref="AD3:AG3"/>
    <mergeCell ref="AH3:AK3"/>
    <mergeCell ref="B1:X1"/>
    <mergeCell ref="O100:O101"/>
    <mergeCell ref="P2:S2"/>
    <mergeCell ref="U2:W2"/>
    <mergeCell ref="R3:S3"/>
    <mergeCell ref="U3:U4"/>
    <mergeCell ref="V3:V4"/>
    <mergeCell ref="W3:W4"/>
    <mergeCell ref="P3:P4"/>
    <mergeCell ref="Q3:Q4"/>
    <mergeCell ref="E98:H98"/>
    <mergeCell ref="E95:M95"/>
    <mergeCell ref="G101:H101"/>
    <mergeCell ref="G100:H100"/>
    <mergeCell ref="I98:L98"/>
    <mergeCell ref="C106:D106"/>
    <mergeCell ref="C139:D139"/>
    <mergeCell ref="G115:H115"/>
    <mergeCell ref="C184:D184"/>
    <mergeCell ref="E144:H144"/>
    <mergeCell ref="I144:L144"/>
    <mergeCell ref="E143:O143"/>
    <mergeCell ref="L106:O106"/>
    <mergeCell ref="C157:D157"/>
  </mergeCells>
  <pageMargins left="0" right="0" top="0.25" bottom="0.5" header="0.3" footer="0.3"/>
  <pageSetup scale="69" fitToHeight="0" orientation="landscape" r:id="rId1"/>
  <headerFooter>
    <oddFooter>&amp;C&amp;P of &amp;N&amp;R&amp;D</oddFooter>
  </headerFooter>
  <rowBreaks count="2" manualBreakCount="2">
    <brk id="99" max="16383" man="1"/>
    <brk id="150" max="16383" man="1"/>
  </rowBreaks>
  <colBreaks count="1" manualBreakCount="1">
    <brk id="1" max="1048575" man="1"/>
  </colBreaks>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K45"/>
  <sheetViews>
    <sheetView showGridLines="0" topLeftCell="A16" workbookViewId="0">
      <selection activeCell="F8" sqref="F8"/>
    </sheetView>
  </sheetViews>
  <sheetFormatPr defaultRowHeight="15.5"/>
  <cols>
    <col min="1" max="1" width="4.7265625" style="352" customWidth="1"/>
    <col min="2" max="2" width="33.26953125" style="352" customWidth="1"/>
    <col min="3" max="3" width="8.81640625" style="384" customWidth="1"/>
    <col min="4" max="4" width="15.7265625" style="352" customWidth="1"/>
    <col min="5" max="5" width="10.1796875" style="352" customWidth="1"/>
    <col min="6" max="6" width="13.90625" style="352" customWidth="1"/>
    <col min="7" max="7" width="11.26953125" style="384" customWidth="1"/>
    <col min="8" max="8" width="11.36328125" style="352" customWidth="1"/>
    <col min="9" max="9" width="50.90625" style="352" customWidth="1"/>
    <col min="10" max="10" width="8.7265625" style="352"/>
    <col min="11" max="11" width="9.453125" style="352" bestFit="1" customWidth="1"/>
    <col min="12" max="16384" width="8.7265625" style="352"/>
  </cols>
  <sheetData>
    <row r="1" spans="1:9" ht="20">
      <c r="A1" s="911" t="s">
        <v>87</v>
      </c>
      <c r="B1" s="911"/>
      <c r="C1" s="911"/>
      <c r="D1" s="911"/>
      <c r="E1" s="911"/>
      <c r="F1" s="911"/>
      <c r="G1" s="911"/>
      <c r="H1" s="911"/>
      <c r="I1" s="911"/>
    </row>
    <row r="2" spans="1:9" ht="18.5" customHeight="1">
      <c r="A2" s="912" t="s">
        <v>447</v>
      </c>
      <c r="B2" s="912"/>
      <c r="C2" s="912"/>
      <c r="D2" s="912"/>
      <c r="E2" s="912"/>
      <c r="F2" s="912"/>
      <c r="G2" s="912"/>
      <c r="H2" s="912"/>
      <c r="I2" s="912"/>
    </row>
    <row r="3" spans="1:9" ht="18.5" customHeight="1" thickBot="1">
      <c r="A3" s="706"/>
      <c r="B3" s="706"/>
      <c r="C3" s="706"/>
      <c r="D3" s="706"/>
      <c r="E3" s="706"/>
      <c r="F3" s="706"/>
      <c r="G3" s="912"/>
      <c r="H3" s="912"/>
      <c r="I3" s="706"/>
    </row>
    <row r="4" spans="1:9" ht="18.5" customHeight="1">
      <c r="A4" s="913" t="s">
        <v>446</v>
      </c>
      <c r="B4" s="914"/>
      <c r="C4" s="914"/>
      <c r="D4" s="914"/>
      <c r="E4" s="748"/>
      <c r="F4" s="915" t="str">
        <f>+'New Year-Full Year'!P3&amp;" Proposed"</f>
        <v>2022 Budget Proposed</v>
      </c>
      <c r="G4" s="915" t="str">
        <f>+'New Year-Full Year'!P3&amp;" Current"</f>
        <v>2022 Budget Current</v>
      </c>
      <c r="H4" s="915" t="str">
        <f>+'New Year-Full Year'!Q3</f>
        <v>2021 Budget</v>
      </c>
      <c r="I4" s="749"/>
    </row>
    <row r="5" spans="1:9" ht="38" customHeight="1" thickBot="1">
      <c r="A5" s="750"/>
      <c r="B5" s="751" t="s">
        <v>450</v>
      </c>
      <c r="C5" s="752" t="s">
        <v>455</v>
      </c>
      <c r="D5" s="753" t="s">
        <v>451</v>
      </c>
      <c r="E5" s="753"/>
      <c r="F5" s="916"/>
      <c r="G5" s="916"/>
      <c r="H5" s="916"/>
      <c r="I5" s="754" t="s">
        <v>463</v>
      </c>
    </row>
    <row r="6" spans="1:9" ht="18.5" customHeight="1">
      <c r="A6" s="757" t="s">
        <v>390</v>
      </c>
      <c r="B6" s="758" t="s">
        <v>452</v>
      </c>
      <c r="C6" s="759" t="s">
        <v>456</v>
      </c>
      <c r="D6" s="922" t="s">
        <v>109</v>
      </c>
      <c r="E6" s="922"/>
      <c r="F6" s="735">
        <f>ROUND(+H6*1.01,0)-13</f>
        <v>16536</v>
      </c>
      <c r="G6" s="760">
        <f>+'New Year-Full Year'!P133</f>
        <v>16795</v>
      </c>
      <c r="H6" s="760">
        <f>+'New Year-Full Year'!Q133</f>
        <v>16385</v>
      </c>
      <c r="I6" s="906" t="s">
        <v>475</v>
      </c>
    </row>
    <row r="7" spans="1:9" ht="18.5" customHeight="1">
      <c r="A7" s="761"/>
      <c r="B7" s="737" t="s">
        <v>448</v>
      </c>
      <c r="C7" s="737"/>
      <c r="D7" s="918"/>
      <c r="E7" s="918"/>
      <c r="F7" s="738">
        <f>+F6-$H6</f>
        <v>151</v>
      </c>
      <c r="G7" s="739">
        <f>+G6-$H6</f>
        <v>410</v>
      </c>
      <c r="H7" s="737"/>
      <c r="I7" s="907"/>
    </row>
    <row r="8" spans="1:9" ht="16" thickBot="1">
      <c r="A8" s="370"/>
      <c r="B8" s="357" t="s">
        <v>454</v>
      </c>
      <c r="C8" s="740"/>
      <c r="D8" s="919"/>
      <c r="E8" s="919"/>
      <c r="F8" s="780">
        <f>+F7/$H6</f>
        <v>9.2157461092462617E-3</v>
      </c>
      <c r="G8" s="741">
        <f>+G7/$H6</f>
        <v>2.5022886786695148E-2</v>
      </c>
      <c r="H8" s="357"/>
      <c r="I8" s="908"/>
    </row>
    <row r="9" spans="1:9" ht="18.5" customHeight="1">
      <c r="A9" s="762" t="s">
        <v>391</v>
      </c>
      <c r="B9" s="734" t="s">
        <v>453</v>
      </c>
      <c r="C9" s="733" t="s">
        <v>456</v>
      </c>
      <c r="D9" s="917" t="s">
        <v>470</v>
      </c>
      <c r="E9" s="917"/>
      <c r="F9" s="735">
        <f>ROUND(+H9*1.01,0)</f>
        <v>3122</v>
      </c>
      <c r="G9" s="736">
        <f>+'New Year-Full Year'!P135</f>
        <v>3168</v>
      </c>
      <c r="H9" s="736">
        <f>+'New Year-Full Year'!Q135</f>
        <v>3091</v>
      </c>
      <c r="I9" s="906" t="s">
        <v>475</v>
      </c>
    </row>
    <row r="10" spans="1:9" ht="18.5" customHeight="1">
      <c r="A10" s="761"/>
      <c r="B10" s="737" t="s">
        <v>448</v>
      </c>
      <c r="C10" s="737"/>
      <c r="D10" s="918"/>
      <c r="E10" s="918"/>
      <c r="F10" s="738">
        <f>+F9-$H9</f>
        <v>31</v>
      </c>
      <c r="G10" s="739">
        <f>+G9-$H9</f>
        <v>77</v>
      </c>
      <c r="H10" s="737"/>
      <c r="I10" s="907"/>
    </row>
    <row r="11" spans="1:9">
      <c r="A11" s="370"/>
      <c r="B11" s="357" t="s">
        <v>454</v>
      </c>
      <c r="C11" s="740"/>
      <c r="D11" s="919"/>
      <c r="E11" s="919"/>
      <c r="F11" s="741">
        <f>+F10/$H9</f>
        <v>1.0029116790682626E-2</v>
      </c>
      <c r="G11" s="741">
        <f>+G10/$H9</f>
        <v>2.491103202846975E-2</v>
      </c>
      <c r="H11" s="357"/>
      <c r="I11" s="908"/>
    </row>
    <row r="12" spans="1:9" ht="18.5" customHeight="1">
      <c r="A12" s="762" t="s">
        <v>392</v>
      </c>
      <c r="B12" s="734" t="s">
        <v>324</v>
      </c>
      <c r="C12" s="733" t="s">
        <v>456</v>
      </c>
      <c r="D12" s="917" t="s">
        <v>49</v>
      </c>
      <c r="E12" s="917"/>
      <c r="F12" s="735">
        <v>7634</v>
      </c>
      <c r="G12" s="736">
        <f>+'New Year-Full Year'!P141</f>
        <v>3000</v>
      </c>
      <c r="H12" s="736">
        <f>+'New Year-Full Year'!Q141</f>
        <v>7634</v>
      </c>
      <c r="I12" s="909" t="s">
        <v>464</v>
      </c>
    </row>
    <row r="13" spans="1:9" ht="18.5" customHeight="1">
      <c r="A13" s="761"/>
      <c r="B13" s="737" t="s">
        <v>448</v>
      </c>
      <c r="C13" s="737"/>
      <c r="D13" s="918"/>
      <c r="E13" s="918"/>
      <c r="F13" s="738">
        <f>+F12-$H12</f>
        <v>0</v>
      </c>
      <c r="G13" s="739">
        <f>+G12-$H12</f>
        <v>-4634</v>
      </c>
      <c r="H13" s="737"/>
      <c r="I13" s="907"/>
    </row>
    <row r="14" spans="1:9" ht="16" thickBot="1">
      <c r="A14" s="363"/>
      <c r="B14" s="364" t="s">
        <v>454</v>
      </c>
      <c r="C14" s="763"/>
      <c r="D14" s="923"/>
      <c r="E14" s="923"/>
      <c r="F14" s="764">
        <f>+F13/$H12</f>
        <v>0</v>
      </c>
      <c r="G14" s="764">
        <f>+G13/$H12</f>
        <v>-0.60702122085407384</v>
      </c>
      <c r="H14" s="364"/>
      <c r="I14" s="910"/>
    </row>
    <row r="15" spans="1:9" ht="16" thickBot="1"/>
    <row r="16" spans="1:9" ht="18.5" customHeight="1">
      <c r="A16" s="913" t="s">
        <v>458</v>
      </c>
      <c r="B16" s="914"/>
      <c r="C16" s="914"/>
      <c r="D16" s="914"/>
      <c r="E16" s="748"/>
      <c r="F16" s="915" t="str">
        <f>+F$4</f>
        <v>2022 Budget Proposed</v>
      </c>
      <c r="G16" s="915" t="str">
        <f t="shared" ref="G16:H16" si="0">+G$4</f>
        <v>2022 Budget Current</v>
      </c>
      <c r="H16" s="915" t="str">
        <f t="shared" si="0"/>
        <v>2021 Budget</v>
      </c>
      <c r="I16" s="749"/>
    </row>
    <row r="17" spans="1:11" ht="38" customHeight="1" thickBot="1">
      <c r="A17" s="750"/>
      <c r="B17" s="751" t="s">
        <v>450</v>
      </c>
      <c r="C17" s="752" t="s">
        <v>459</v>
      </c>
      <c r="D17" s="916" t="s">
        <v>460</v>
      </c>
      <c r="E17" s="916"/>
      <c r="F17" s="916"/>
      <c r="G17" s="916"/>
      <c r="H17" s="916"/>
      <c r="I17" s="754" t="str">
        <f>+I$5</f>
        <v>Notes / Rational for change</v>
      </c>
    </row>
    <row r="18" spans="1:11">
      <c r="A18" s="761" t="s">
        <v>390</v>
      </c>
      <c r="B18" s="705" t="s">
        <v>457</v>
      </c>
      <c r="C18" s="755">
        <v>25</v>
      </c>
      <c r="D18" s="746" t="s">
        <v>461</v>
      </c>
      <c r="E18" s="766">
        <v>13.78</v>
      </c>
      <c r="F18" s="756">
        <f>+$C18*$E18*52</f>
        <v>17914</v>
      </c>
      <c r="G18" s="756">
        <f>+$C18*$E19*52</f>
        <v>17914</v>
      </c>
      <c r="H18" s="756">
        <f>+$C18*$E20*52</f>
        <v>17732</v>
      </c>
      <c r="I18" s="907" t="s">
        <v>476</v>
      </c>
      <c r="K18" s="356"/>
    </row>
    <row r="19" spans="1:11">
      <c r="A19" s="761"/>
      <c r="B19" s="737" t="s">
        <v>448</v>
      </c>
      <c r="C19" s="742"/>
      <c r="D19" s="746" t="s">
        <v>462</v>
      </c>
      <c r="E19" s="766">
        <v>13.78</v>
      </c>
      <c r="F19" s="738">
        <f>+F18-$H18</f>
        <v>182</v>
      </c>
      <c r="G19" s="739">
        <f>+G18-$H18</f>
        <v>182</v>
      </c>
      <c r="H19" s="355"/>
      <c r="I19" s="907"/>
    </row>
    <row r="20" spans="1:11">
      <c r="A20" s="370"/>
      <c r="B20" s="357" t="s">
        <v>454</v>
      </c>
      <c r="C20" s="740"/>
      <c r="D20" s="747" t="s">
        <v>287</v>
      </c>
      <c r="E20" s="767">
        <v>13.64</v>
      </c>
      <c r="F20" s="741">
        <f>+F19/$H18</f>
        <v>1.0263929618768328E-2</v>
      </c>
      <c r="G20" s="741">
        <f>+G19/$H18</f>
        <v>1.0263929618768328E-2</v>
      </c>
      <c r="H20" s="357"/>
      <c r="I20" s="908"/>
    </row>
    <row r="21" spans="1:11">
      <c r="A21" s="762" t="s">
        <v>391</v>
      </c>
      <c r="B21" s="734" t="s">
        <v>465</v>
      </c>
      <c r="C21" s="744">
        <v>20</v>
      </c>
      <c r="D21" s="745" t="s">
        <v>461</v>
      </c>
      <c r="E21" s="768">
        <v>11.57</v>
      </c>
      <c r="F21" s="756">
        <f>+$C21*$E21*52</f>
        <v>12032.800000000001</v>
      </c>
      <c r="G21" s="756">
        <f>+$C21*$E22*52</f>
        <v>12157.599999999999</v>
      </c>
      <c r="H21" s="756">
        <f>+$C21*$E23*52</f>
        <v>12032.800000000001</v>
      </c>
      <c r="I21" s="909" t="s">
        <v>467</v>
      </c>
    </row>
    <row r="22" spans="1:11">
      <c r="A22" s="761"/>
      <c r="B22" s="737" t="s">
        <v>448</v>
      </c>
      <c r="C22" s="742"/>
      <c r="D22" s="746" t="s">
        <v>462</v>
      </c>
      <c r="E22" s="766">
        <v>11.69</v>
      </c>
      <c r="F22" s="738">
        <f>+F21-$H21</f>
        <v>0</v>
      </c>
      <c r="G22" s="739">
        <f>+G21-$H21</f>
        <v>124.79999999999745</v>
      </c>
      <c r="H22" s="355"/>
      <c r="I22" s="907"/>
    </row>
    <row r="23" spans="1:11">
      <c r="A23" s="370"/>
      <c r="B23" s="357" t="s">
        <v>454</v>
      </c>
      <c r="C23" s="740"/>
      <c r="D23" s="747" t="s">
        <v>287</v>
      </c>
      <c r="E23" s="767">
        <v>11.57</v>
      </c>
      <c r="F23" s="741">
        <f>+F22/$H21</f>
        <v>0</v>
      </c>
      <c r="G23" s="741">
        <f>+G22/$H21</f>
        <v>1.0371650821088811E-2</v>
      </c>
      <c r="H23" s="357"/>
      <c r="I23" s="908"/>
    </row>
    <row r="24" spans="1:11" ht="15.5" customHeight="1">
      <c r="A24" s="762" t="s">
        <v>392</v>
      </c>
      <c r="B24" s="734" t="s">
        <v>466</v>
      </c>
      <c r="C24" s="744">
        <v>7.5</v>
      </c>
      <c r="D24" s="745" t="s">
        <v>461</v>
      </c>
      <c r="E24" s="768">
        <v>11.22</v>
      </c>
      <c r="F24" s="756">
        <f>+$C24*$E24*52</f>
        <v>4375.8</v>
      </c>
      <c r="G24" s="756">
        <f>+$C24*$E25*52</f>
        <v>4418.7</v>
      </c>
      <c r="H24" s="756">
        <f>+$C24*$E26*52</f>
        <v>4375.8</v>
      </c>
      <c r="I24" s="909" t="s">
        <v>467</v>
      </c>
    </row>
    <row r="25" spans="1:11">
      <c r="A25" s="761"/>
      <c r="B25" s="737" t="s">
        <v>448</v>
      </c>
      <c r="C25" s="742"/>
      <c r="D25" s="746" t="s">
        <v>462</v>
      </c>
      <c r="E25" s="766">
        <v>11.33</v>
      </c>
      <c r="F25" s="738">
        <f>+F24-$H24</f>
        <v>0</v>
      </c>
      <c r="G25" s="739">
        <f>+G24-$H24</f>
        <v>42.899999999999636</v>
      </c>
      <c r="H25" s="355"/>
      <c r="I25" s="907"/>
    </row>
    <row r="26" spans="1:11">
      <c r="A26" s="370"/>
      <c r="B26" s="357" t="s">
        <v>454</v>
      </c>
      <c r="C26" s="740"/>
      <c r="D26" s="747" t="s">
        <v>287</v>
      </c>
      <c r="E26" s="767">
        <v>11.22</v>
      </c>
      <c r="F26" s="741">
        <f>+F25/$H24</f>
        <v>0</v>
      </c>
      <c r="G26" s="741">
        <f>+G25/$H24</f>
        <v>9.8039215686273676E-3</v>
      </c>
      <c r="H26" s="357"/>
      <c r="I26" s="908"/>
    </row>
    <row r="27" spans="1:11" ht="18.5" customHeight="1">
      <c r="A27" s="762" t="s">
        <v>395</v>
      </c>
      <c r="B27" s="734" t="s">
        <v>449</v>
      </c>
      <c r="C27" s="744">
        <v>40</v>
      </c>
      <c r="D27" s="745" t="s">
        <v>461</v>
      </c>
      <c r="E27" s="768">
        <f>ROUND(+E29*1.02,2)</f>
        <v>17.690000000000001</v>
      </c>
      <c r="F27" s="756">
        <f>+$C27*$E27*52</f>
        <v>36795.200000000004</v>
      </c>
      <c r="G27" s="756">
        <f>+$C27*$E28*52</f>
        <v>36420.800000000003</v>
      </c>
      <c r="H27" s="756">
        <f>+$C27*$E29*52</f>
        <v>36067.200000000004</v>
      </c>
      <c r="I27" s="909" t="s">
        <v>469</v>
      </c>
    </row>
    <row r="28" spans="1:11" ht="18.5" customHeight="1">
      <c r="A28" s="761"/>
      <c r="B28" s="737" t="s">
        <v>448</v>
      </c>
      <c r="C28" s="742"/>
      <c r="D28" s="746" t="s">
        <v>462</v>
      </c>
      <c r="E28" s="766">
        <v>17.510000000000002</v>
      </c>
      <c r="F28" s="738">
        <f>+F27-$H27</f>
        <v>728</v>
      </c>
      <c r="G28" s="739">
        <f>+G27-$H27</f>
        <v>353.59999999999854</v>
      </c>
      <c r="H28" s="355"/>
      <c r="I28" s="907"/>
    </row>
    <row r="29" spans="1:11">
      <c r="A29" s="370"/>
      <c r="B29" s="357" t="s">
        <v>454</v>
      </c>
      <c r="C29" s="740"/>
      <c r="D29" s="747" t="s">
        <v>287</v>
      </c>
      <c r="E29" s="767">
        <v>17.34</v>
      </c>
      <c r="F29" s="741">
        <f>+F28/$H27</f>
        <v>2.0184544405997689E-2</v>
      </c>
      <c r="G29" s="741">
        <f>+G28/$H27</f>
        <v>9.8039215686274092E-3</v>
      </c>
      <c r="H29" s="357"/>
      <c r="I29" s="908"/>
    </row>
    <row r="30" spans="1:11" ht="18.5" customHeight="1">
      <c r="A30" s="761" t="s">
        <v>396</v>
      </c>
      <c r="B30" s="705" t="s">
        <v>468</v>
      </c>
      <c r="C30" s="755">
        <v>15</v>
      </c>
      <c r="D30" s="746" t="s">
        <v>461</v>
      </c>
      <c r="E30" s="766">
        <f>ROUND(+E32*(1+0),2)</f>
        <v>14.57</v>
      </c>
      <c r="F30" s="756">
        <f>+$C30*$E30*52</f>
        <v>11364.6</v>
      </c>
      <c r="G30" s="756">
        <f>+$C30*$E31*52</f>
        <v>11481.6</v>
      </c>
      <c r="H30" s="756">
        <f>+$C30*$E32*52</f>
        <v>11364.6</v>
      </c>
      <c r="I30" s="907" t="s">
        <v>467</v>
      </c>
    </row>
    <row r="31" spans="1:11" ht="18.5" customHeight="1">
      <c r="A31" s="761"/>
      <c r="B31" s="737" t="s">
        <v>448</v>
      </c>
      <c r="C31" s="742"/>
      <c r="D31" s="746" t="s">
        <v>462</v>
      </c>
      <c r="E31" s="766">
        <v>14.72</v>
      </c>
      <c r="F31" s="738">
        <f>+F30-$H30</f>
        <v>0</v>
      </c>
      <c r="G31" s="739">
        <f>+G30-$H30</f>
        <v>117</v>
      </c>
      <c r="H31" s="355"/>
      <c r="I31" s="907"/>
    </row>
    <row r="32" spans="1:11" ht="16" thickBot="1">
      <c r="A32" s="363"/>
      <c r="B32" s="364" t="s">
        <v>454</v>
      </c>
      <c r="C32" s="763"/>
      <c r="D32" s="775" t="s">
        <v>287</v>
      </c>
      <c r="E32" s="776">
        <v>14.57</v>
      </c>
      <c r="F32" s="779">
        <f>+F31/$H30</f>
        <v>0</v>
      </c>
      <c r="G32" s="764">
        <f>+G31/$H30</f>
        <v>1.029512697323267E-2</v>
      </c>
      <c r="H32" s="364"/>
      <c r="I32" s="910"/>
    </row>
    <row r="33" spans="1:9" ht="16" thickBot="1">
      <c r="A33" s="355"/>
      <c r="B33" s="355"/>
      <c r="C33" s="742"/>
      <c r="D33" s="746"/>
      <c r="E33" s="766"/>
      <c r="F33" s="743"/>
      <c r="G33" s="743"/>
      <c r="H33" s="355"/>
      <c r="I33" s="765"/>
    </row>
    <row r="34" spans="1:9" ht="18">
      <c r="A34" s="913" t="s">
        <v>406</v>
      </c>
      <c r="B34" s="914"/>
      <c r="C34" s="914"/>
      <c r="D34" s="914"/>
      <c r="E34" s="914"/>
      <c r="F34" s="915" t="str">
        <f>+F$4</f>
        <v>2022 Budget Proposed</v>
      </c>
      <c r="G34" s="915" t="str">
        <f t="shared" ref="G34:H34" si="1">+G$4</f>
        <v>2022 Budget Current</v>
      </c>
      <c r="H34" s="915" t="str">
        <f t="shared" si="1"/>
        <v>2021 Budget</v>
      </c>
      <c r="I34" s="749"/>
    </row>
    <row r="35" spans="1:9" ht="34" customHeight="1" thickBot="1">
      <c r="A35" s="920"/>
      <c r="B35" s="921"/>
      <c r="C35" s="921"/>
      <c r="D35" s="921"/>
      <c r="E35" s="921"/>
      <c r="F35" s="916"/>
      <c r="G35" s="916"/>
      <c r="H35" s="916"/>
      <c r="I35" s="754" t="str">
        <f>+I$5</f>
        <v>Notes / Rational for change</v>
      </c>
    </row>
    <row r="36" spans="1:9">
      <c r="A36" s="370" t="s">
        <v>471</v>
      </c>
      <c r="B36" s="357"/>
      <c r="C36" s="740"/>
      <c r="D36" s="357"/>
      <c r="E36" s="357"/>
      <c r="F36" s="772">
        <f>+G36</f>
        <v>14264</v>
      </c>
      <c r="G36" s="772">
        <f>3650+10614</f>
        <v>14264</v>
      </c>
      <c r="H36" s="772">
        <f>3501+12642+1</f>
        <v>16144</v>
      </c>
      <c r="I36" s="371"/>
    </row>
    <row r="37" spans="1:9">
      <c r="A37" s="773" t="s">
        <v>52</v>
      </c>
      <c r="B37" s="769"/>
      <c r="C37" s="770"/>
      <c r="D37" s="769"/>
      <c r="E37" s="769"/>
      <c r="F37" s="771">
        <f>+G37</f>
        <v>30259</v>
      </c>
      <c r="G37" s="771">
        <f>800+500+13800+3000+3375+1500+2759+1000+400+700+925+1500</f>
        <v>30259</v>
      </c>
      <c r="H37" s="771">
        <f>800+500+13800+3000+3375+1500+2759+1000+400+700+925+1500</f>
        <v>30259</v>
      </c>
      <c r="I37" s="774" t="s">
        <v>473</v>
      </c>
    </row>
    <row r="38" spans="1:9">
      <c r="A38" s="925" t="s">
        <v>472</v>
      </c>
      <c r="B38" s="926"/>
      <c r="C38" s="744"/>
      <c r="D38" s="745"/>
      <c r="E38" s="768"/>
      <c r="F38" s="778">
        <f>+G38</f>
        <v>188497</v>
      </c>
      <c r="G38" s="778">
        <f>102099+86398</f>
        <v>188497</v>
      </c>
      <c r="H38" s="778">
        <f>100670+48251+18950+8843</f>
        <v>176714</v>
      </c>
      <c r="I38" s="909" t="s">
        <v>474</v>
      </c>
    </row>
    <row r="39" spans="1:9">
      <c r="A39" s="761"/>
      <c r="B39" s="737"/>
      <c r="C39" s="742"/>
      <c r="D39" s="746"/>
      <c r="E39" s="766"/>
      <c r="F39" s="738">
        <f>+F38-$H38</f>
        <v>11783</v>
      </c>
      <c r="G39" s="739">
        <f>+G38-$H38</f>
        <v>11783</v>
      </c>
      <c r="H39" s="355"/>
      <c r="I39" s="907"/>
    </row>
    <row r="40" spans="1:9" ht="16" thickBot="1">
      <c r="A40" s="363"/>
      <c r="B40" s="364"/>
      <c r="C40" s="763"/>
      <c r="D40" s="775"/>
      <c r="E40" s="776"/>
      <c r="F40" s="764">
        <f>+F39/$H38</f>
        <v>6.667836164650226E-2</v>
      </c>
      <c r="G40" s="764">
        <f>+G39/$H38</f>
        <v>6.667836164650226E-2</v>
      </c>
      <c r="H40" s="364"/>
      <c r="I40" s="910"/>
    </row>
    <row r="41" spans="1:9" ht="16" thickBot="1"/>
    <row r="42" spans="1:9" ht="18">
      <c r="A42" s="913" t="s">
        <v>59</v>
      </c>
      <c r="B42" s="914"/>
      <c r="C42" s="914"/>
      <c r="D42" s="914"/>
      <c r="E42" s="914"/>
      <c r="F42" s="924">
        <f>+F6+F9+F12+F18+F21+F24+F27+F30+F36+F37+F38</f>
        <v>342794.4</v>
      </c>
      <c r="G42" s="924">
        <f>+G6+G9+G12+G18+G21+G24+G27+G30+G36+G37+G38</f>
        <v>338375.7</v>
      </c>
      <c r="H42" s="924">
        <f t="shared" ref="H42" si="2">+H6+H9+H12+H18+H21+H24+H27+H30+H36+H37+H38</f>
        <v>331799.40000000002</v>
      </c>
      <c r="I42" s="749"/>
    </row>
    <row r="43" spans="1:9" ht="18.5" thickBot="1">
      <c r="A43" s="920"/>
      <c r="B43" s="921"/>
      <c r="C43" s="921"/>
      <c r="D43" s="921"/>
      <c r="E43" s="921"/>
      <c r="F43" s="916"/>
      <c r="G43" s="916"/>
      <c r="H43" s="916"/>
      <c r="I43" s="754"/>
    </row>
    <row r="45" spans="1:9">
      <c r="F45" s="777"/>
      <c r="G45" s="732"/>
      <c r="H45" s="777"/>
    </row>
  </sheetData>
  <mergeCells count="33">
    <mergeCell ref="A42:E43"/>
    <mergeCell ref="F42:F43"/>
    <mergeCell ref="G42:G43"/>
    <mergeCell ref="H42:H43"/>
    <mergeCell ref="I38:I40"/>
    <mergeCell ref="A38:B38"/>
    <mergeCell ref="I18:I20"/>
    <mergeCell ref="I21:I23"/>
    <mergeCell ref="I24:I26"/>
    <mergeCell ref="I30:I32"/>
    <mergeCell ref="I27:I29"/>
    <mergeCell ref="A16:D16"/>
    <mergeCell ref="H34:H35"/>
    <mergeCell ref="A34:E35"/>
    <mergeCell ref="D6:E8"/>
    <mergeCell ref="D12:E14"/>
    <mergeCell ref="D17:E17"/>
    <mergeCell ref="F34:F35"/>
    <mergeCell ref="G34:G35"/>
    <mergeCell ref="F16:F17"/>
    <mergeCell ref="G16:G17"/>
    <mergeCell ref="H16:H17"/>
    <mergeCell ref="I9:I11"/>
    <mergeCell ref="I6:I8"/>
    <mergeCell ref="I12:I14"/>
    <mergeCell ref="A1:I1"/>
    <mergeCell ref="A2:I2"/>
    <mergeCell ref="A4:D4"/>
    <mergeCell ref="G4:G5"/>
    <mergeCell ref="H4:H5"/>
    <mergeCell ref="G3:H3"/>
    <mergeCell ref="F4:F5"/>
    <mergeCell ref="D9:E11"/>
  </mergeCells>
  <printOptions horizontalCentered="1"/>
  <pageMargins left="0.2" right="0.2" top="0.25" bottom="0.25" header="0.3" footer="0.3"/>
  <pageSetup scale="64" orientation="portrait" horizontalDpi="4294967293" verticalDpi="0" r:id="rId1"/>
</worksheet>
</file>

<file path=xl/worksheets/sheet7.xml><?xml version="1.0" encoding="utf-8"?>
<worksheet xmlns="http://schemas.openxmlformats.org/spreadsheetml/2006/main" xmlns:r="http://schemas.openxmlformats.org/officeDocument/2006/relationships">
  <dimension ref="A1:C7"/>
  <sheetViews>
    <sheetView showGridLines="0" workbookViewId="0">
      <selection activeCell="B3" sqref="B3:B6"/>
    </sheetView>
  </sheetViews>
  <sheetFormatPr defaultRowHeight="21"/>
  <cols>
    <col min="1" max="1" width="5.7265625" style="650" customWidth="1"/>
    <col min="2" max="2" width="15.7265625" style="650" customWidth="1"/>
    <col min="3" max="3" width="100.453125" style="650" customWidth="1"/>
    <col min="4" max="16384" width="8.7265625" style="650"/>
  </cols>
  <sheetData>
    <row r="1" spans="1:3" ht="26">
      <c r="A1" s="927" t="s">
        <v>389</v>
      </c>
      <c r="B1" s="927"/>
      <c r="C1" s="927"/>
    </row>
    <row r="3" spans="1:3" ht="42" customHeight="1">
      <c r="A3" s="651" t="s">
        <v>390</v>
      </c>
      <c r="B3" s="653">
        <v>3000</v>
      </c>
      <c r="C3" s="652" t="s">
        <v>402</v>
      </c>
    </row>
    <row r="4" spans="1:3" ht="42" customHeight="1">
      <c r="A4" s="651" t="s">
        <v>391</v>
      </c>
      <c r="B4" s="653">
        <v>4000</v>
      </c>
      <c r="C4" s="652" t="s">
        <v>393</v>
      </c>
    </row>
    <row r="5" spans="1:3" ht="42" customHeight="1">
      <c r="A5" s="651" t="s">
        <v>392</v>
      </c>
      <c r="B5" s="653">
        <v>2759</v>
      </c>
      <c r="C5" s="652" t="s">
        <v>397</v>
      </c>
    </row>
    <row r="6" spans="1:3" ht="42" customHeight="1">
      <c r="A6" s="651" t="s">
        <v>395</v>
      </c>
      <c r="B6" s="653">
        <v>8000</v>
      </c>
      <c r="C6" s="652" t="s">
        <v>394</v>
      </c>
    </row>
    <row r="7" spans="1:3" ht="42" customHeight="1">
      <c r="A7" s="651" t="s">
        <v>396</v>
      </c>
      <c r="B7" s="653">
        <v>8185</v>
      </c>
      <c r="C7" s="652" t="s">
        <v>398</v>
      </c>
    </row>
  </sheetData>
  <mergeCells count="1">
    <mergeCell ref="A1:C1"/>
  </mergeCells>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dimension ref="A1:I15"/>
  <sheetViews>
    <sheetView showGridLines="0" workbookViewId="0">
      <selection activeCell="D10" sqref="D10"/>
    </sheetView>
  </sheetViews>
  <sheetFormatPr defaultRowHeight="14.5"/>
  <cols>
    <col min="2" max="2" width="31.36328125" customWidth="1"/>
    <col min="6" max="6" width="10.453125" customWidth="1"/>
  </cols>
  <sheetData>
    <row r="1" spans="1:9" ht="23.5">
      <c r="A1" s="930" t="s">
        <v>87</v>
      </c>
      <c r="B1" s="930"/>
      <c r="C1" s="930"/>
      <c r="D1" s="930"/>
      <c r="E1" s="930"/>
      <c r="F1" s="930"/>
      <c r="G1" s="930"/>
    </row>
    <row r="4" spans="1:9" ht="29.5" customHeight="1">
      <c r="C4" s="899" t="str">
        <f>Bud_Yr&amp;" Budget"</f>
        <v>2022 Budget</v>
      </c>
      <c r="D4" s="900" t="s">
        <v>427</v>
      </c>
      <c r="E4" s="900" t="str">
        <f>Bud_Yr-1&amp;" Budget"</f>
        <v>2021 Budget</v>
      </c>
      <c r="F4" s="893" t="str">
        <f>Bud_Yr&amp;" Budget vs             "&amp;Bud_Yr-1&amp;" Budget"</f>
        <v>2022 Budget vs             2021 Budget</v>
      </c>
      <c r="G4" s="894"/>
    </row>
    <row r="5" spans="1:9">
      <c r="C5" s="928"/>
      <c r="D5" s="887"/>
      <c r="E5" s="929"/>
      <c r="F5" s="550" t="s">
        <v>113</v>
      </c>
      <c r="G5" s="551" t="s">
        <v>114</v>
      </c>
    </row>
    <row r="6" spans="1:9">
      <c r="B6" s="552" t="s">
        <v>336</v>
      </c>
      <c r="C6" s="704">
        <f>+'New Year-Full Year'!P27</f>
        <v>21000</v>
      </c>
      <c r="D6" s="704">
        <f>+E6+1500</f>
        <v>30290</v>
      </c>
      <c r="E6" s="704">
        <f>+'New Year-Full Year'!Q27</f>
        <v>28790</v>
      </c>
      <c r="F6" s="553">
        <f t="shared" ref="F6" si="0">+C6-E6</f>
        <v>-7790</v>
      </c>
      <c r="G6" s="554">
        <f t="shared" ref="G6" si="1">IF(E6=0,"NA",(+C6-E6)/E6)</f>
        <v>-0.27058006252170891</v>
      </c>
      <c r="I6" s="584"/>
    </row>
    <row r="7" spans="1:9">
      <c r="B7" s="555" t="s">
        <v>337</v>
      </c>
      <c r="C7" s="272">
        <f>+'New Year-Full Year'!P28</f>
        <v>0</v>
      </c>
      <c r="D7" s="272">
        <f>+E7</f>
        <v>3000</v>
      </c>
      <c r="E7" s="272">
        <f>+'New Year-Full Year'!Q28</f>
        <v>3000</v>
      </c>
      <c r="F7" s="236">
        <f t="shared" ref="F7" si="2">+C7-E7</f>
        <v>-3000</v>
      </c>
      <c r="G7" s="556">
        <f t="shared" ref="G7" si="3">IF(E7=0,"NA",(+C7-E7)/E7)</f>
        <v>-1</v>
      </c>
    </row>
    <row r="8" spans="1:9">
      <c r="B8" s="555" t="s">
        <v>338</v>
      </c>
      <c r="C8" s="272">
        <f>+'New Year-Full Year'!P29</f>
        <v>500</v>
      </c>
      <c r="D8" s="272">
        <f>+E8+1000</f>
        <v>2000</v>
      </c>
      <c r="E8" s="272">
        <f>+'New Year-Full Year'!Q29</f>
        <v>1000</v>
      </c>
      <c r="F8" s="236">
        <f t="shared" ref="F8:F14" si="4">+C8-E8</f>
        <v>-500</v>
      </c>
      <c r="G8" s="556">
        <f t="shared" ref="G8:G14" si="5">IF(E8=0,"NA",(+C8-E8)/E8)</f>
        <v>-0.5</v>
      </c>
    </row>
    <row r="9" spans="1:9">
      <c r="B9" s="555" t="s">
        <v>346</v>
      </c>
      <c r="C9" s="272">
        <f>+'New Year-Full Year'!P30</f>
        <v>1500</v>
      </c>
      <c r="D9" s="272">
        <f>+E9+1000</f>
        <v>3000</v>
      </c>
      <c r="E9" s="272">
        <f>+'New Year-Full Year'!Q30</f>
        <v>2000</v>
      </c>
      <c r="F9" s="236">
        <f t="shared" si="4"/>
        <v>-500</v>
      </c>
      <c r="G9" s="556">
        <f t="shared" si="5"/>
        <v>-0.25</v>
      </c>
    </row>
    <row r="10" spans="1:9">
      <c r="B10" s="555" t="s">
        <v>339</v>
      </c>
      <c r="C10" s="272">
        <f>+'New Year-Full Year'!P31</f>
        <v>750</v>
      </c>
      <c r="D10" s="272">
        <f>+E10</f>
        <v>750</v>
      </c>
      <c r="E10" s="272">
        <f>+'New Year-Full Year'!Q31</f>
        <v>750</v>
      </c>
      <c r="F10" s="236">
        <f t="shared" si="4"/>
        <v>0</v>
      </c>
      <c r="G10" s="556">
        <f t="shared" si="5"/>
        <v>0</v>
      </c>
    </row>
    <row r="11" spans="1:9">
      <c r="B11" s="555" t="s">
        <v>340</v>
      </c>
      <c r="C11" s="272">
        <f>+'New Year-Full Year'!P32</f>
        <v>1000</v>
      </c>
      <c r="D11" s="272">
        <f>+E11+1000</f>
        <v>2000</v>
      </c>
      <c r="E11" s="272">
        <f>+'New Year-Full Year'!Q32</f>
        <v>1000</v>
      </c>
      <c r="F11" s="236">
        <f t="shared" si="4"/>
        <v>0</v>
      </c>
      <c r="G11" s="556">
        <f t="shared" si="5"/>
        <v>0</v>
      </c>
    </row>
    <row r="12" spans="1:9">
      <c r="B12" s="555" t="s">
        <v>341</v>
      </c>
      <c r="C12" s="272">
        <f>+'New Year-Full Year'!P33</f>
        <v>1000</v>
      </c>
      <c r="D12" s="272">
        <f>+E12+500</f>
        <v>2000</v>
      </c>
      <c r="E12" s="272">
        <f>+'New Year-Full Year'!Q33</f>
        <v>1500</v>
      </c>
      <c r="F12" s="236">
        <f t="shared" si="4"/>
        <v>-500</v>
      </c>
      <c r="G12" s="556">
        <f t="shared" si="5"/>
        <v>-0.33333333333333331</v>
      </c>
    </row>
    <row r="13" spans="1:9">
      <c r="B13" s="555" t="s">
        <v>342</v>
      </c>
      <c r="C13" s="272">
        <f>+'New Year-Full Year'!P34</f>
        <v>1000</v>
      </c>
      <c r="D13" s="272">
        <f>+E13+1000</f>
        <v>2500</v>
      </c>
      <c r="E13" s="272">
        <f>+'New Year-Full Year'!Q34</f>
        <v>1500</v>
      </c>
      <c r="F13" s="236">
        <f t="shared" si="4"/>
        <v>-500</v>
      </c>
      <c r="G13" s="556">
        <f t="shared" si="5"/>
        <v>-0.33333333333333331</v>
      </c>
    </row>
    <row r="14" spans="1:9">
      <c r="B14" s="555" t="s">
        <v>343</v>
      </c>
      <c r="C14" s="272">
        <f>+'New Year-Full Year'!P35</f>
        <v>1000</v>
      </c>
      <c r="D14" s="272">
        <f>+E14+500</f>
        <v>1000</v>
      </c>
      <c r="E14" s="272">
        <f>+'New Year-Full Year'!Q35</f>
        <v>500</v>
      </c>
      <c r="F14" s="236">
        <f t="shared" si="4"/>
        <v>500</v>
      </c>
      <c r="G14" s="556">
        <f t="shared" si="5"/>
        <v>1</v>
      </c>
    </row>
    <row r="15" spans="1:9">
      <c r="B15" s="557" t="s">
        <v>167</v>
      </c>
      <c r="C15" s="707">
        <f>+SUM(C6:C14)</f>
        <v>27750</v>
      </c>
      <c r="D15" s="707">
        <f>+SUM(D6:D14)</f>
        <v>46540</v>
      </c>
      <c r="E15" s="707">
        <f>+SUM(E6:E14)</f>
        <v>40040</v>
      </c>
      <c r="F15" s="558">
        <f>+SUM(F6:F14)</f>
        <v>-12290</v>
      </c>
      <c r="G15" s="559"/>
    </row>
  </sheetData>
  <mergeCells count="5">
    <mergeCell ref="C4:C5"/>
    <mergeCell ref="E4:E5"/>
    <mergeCell ref="F4:G4"/>
    <mergeCell ref="A1:G1"/>
    <mergeCell ref="D4:D5"/>
  </mergeCells>
  <pageMargins left="0.7" right="0.7" top="0.75" bottom="0.75" header="0.3" footer="0.3"/>
</worksheet>
</file>

<file path=xl/worksheets/sheet9.xml><?xml version="1.0" encoding="utf-8"?>
<worksheet xmlns="http://schemas.openxmlformats.org/spreadsheetml/2006/main" xmlns:r="http://schemas.openxmlformats.org/officeDocument/2006/relationships">
  <sheetPr>
    <pageSetUpPr fitToPage="1"/>
  </sheetPr>
  <dimension ref="A1:Y77"/>
  <sheetViews>
    <sheetView showGridLines="0" workbookViewId="0">
      <selection activeCell="Y24" sqref="Y24"/>
    </sheetView>
  </sheetViews>
  <sheetFormatPr defaultRowHeight="14.5" outlineLevelCol="1"/>
  <cols>
    <col min="1" max="1" width="49.36328125" style="140" customWidth="1"/>
    <col min="2" max="2" width="10.453125" style="140" hidden="1" customWidth="1" outlineLevel="1"/>
    <col min="3" max="3" width="10" style="140" hidden="1" customWidth="1" outlineLevel="1"/>
    <col min="4" max="6" width="8.7265625" style="140" hidden="1" customWidth="1" outlineLevel="1"/>
    <col min="7" max="7" width="13.90625" style="140" hidden="1" customWidth="1" outlineLevel="1" collapsed="1"/>
    <col min="8" max="9" width="13.90625" style="140" hidden="1" customWidth="1" outlineLevel="1"/>
    <col min="10" max="10" width="23.6328125" style="140" hidden="1" customWidth="1" outlineLevel="1"/>
    <col min="11" max="11" width="13.90625" style="140" customWidth="1" collapsed="1"/>
    <col min="12" max="16" width="13.90625" style="140" hidden="1" customWidth="1"/>
    <col min="17" max="18" width="13.90625" style="140" customWidth="1"/>
    <col min="19" max="22" width="13.90625" style="140" hidden="1" customWidth="1"/>
    <col min="23" max="24" width="8.7265625" style="140"/>
    <col min="25" max="25" width="12.453125" style="140" customWidth="1"/>
    <col min="26" max="16384" width="8.7265625" style="140"/>
  </cols>
  <sheetData>
    <row r="1" spans="1:25" ht="21">
      <c r="A1" s="933" t="s">
        <v>569</v>
      </c>
      <c r="B1" s="933"/>
      <c r="C1" s="933"/>
      <c r="D1" s="933"/>
      <c r="E1" s="933"/>
      <c r="F1" s="933"/>
      <c r="G1" s="933"/>
      <c r="H1" s="933"/>
      <c r="I1" s="933"/>
      <c r="J1" s="933"/>
      <c r="K1" s="933"/>
      <c r="L1" s="933"/>
      <c r="M1" s="933"/>
      <c r="N1" s="933"/>
      <c r="O1" s="933"/>
      <c r="P1" s="933"/>
      <c r="Q1" s="933"/>
      <c r="R1" s="933"/>
      <c r="S1" s="933"/>
      <c r="T1" s="933"/>
      <c r="U1" s="933"/>
      <c r="V1" s="933"/>
      <c r="W1" s="933"/>
      <c r="X1" s="933"/>
      <c r="Y1" s="933"/>
    </row>
    <row r="2" spans="1:25">
      <c r="K2" s="822"/>
      <c r="L2" s="939"/>
      <c r="M2" s="939"/>
      <c r="N2" s="939"/>
      <c r="O2" s="939"/>
      <c r="P2" s="939"/>
      <c r="Q2" s="850"/>
      <c r="R2" s="939"/>
      <c r="S2" s="939"/>
      <c r="T2" s="939"/>
      <c r="U2" s="939"/>
      <c r="V2" s="1028"/>
    </row>
    <row r="3" spans="1:25" ht="43.5" customHeight="1">
      <c r="A3" s="822" t="s">
        <v>593</v>
      </c>
      <c r="B3" s="935">
        <v>2018</v>
      </c>
      <c r="C3" s="936"/>
      <c r="D3" s="936"/>
      <c r="E3" s="936"/>
      <c r="F3" s="937"/>
      <c r="G3" s="415" t="s">
        <v>190</v>
      </c>
      <c r="H3" s="141" t="s">
        <v>208</v>
      </c>
      <c r="I3" s="415" t="s">
        <v>287</v>
      </c>
      <c r="K3" s="839" t="s">
        <v>382</v>
      </c>
      <c r="L3" s="840" t="s">
        <v>375</v>
      </c>
      <c r="M3" s="840" t="s">
        <v>376</v>
      </c>
      <c r="N3" s="841" t="s">
        <v>377</v>
      </c>
      <c r="O3" s="841" t="s">
        <v>378</v>
      </c>
      <c r="P3" s="840" t="s">
        <v>379</v>
      </c>
      <c r="Q3" s="842" t="s">
        <v>481</v>
      </c>
      <c r="R3" s="840" t="s">
        <v>375</v>
      </c>
      <c r="S3" s="590" t="s">
        <v>376</v>
      </c>
      <c r="T3" s="591" t="s">
        <v>377</v>
      </c>
      <c r="U3" s="591" t="s">
        <v>378</v>
      </c>
      <c r="V3" s="590" t="s">
        <v>379</v>
      </c>
      <c r="W3" s="940" t="str">
        <f>"To Buy Back one week of vacation is $"&amp;ROUND(+Q11/52,2)&amp;"0 per week or $"&amp;ROUND(+Q11/52,0)/5&amp;" Per day."</f>
        <v>To Buy Back one week of vacation is $1509.60 per week or $302 Per day.</v>
      </c>
      <c r="X3" s="941"/>
      <c r="Y3" s="941"/>
    </row>
    <row r="4" spans="1:25" ht="14.5" customHeight="1">
      <c r="A4" s="449" t="s">
        <v>42</v>
      </c>
      <c r="B4" s="173">
        <v>52894</v>
      </c>
      <c r="C4" s="127">
        <f>+B7-C6</f>
        <v>46762</v>
      </c>
      <c r="D4" s="127">
        <f>+B7-D6</f>
        <v>46762</v>
      </c>
      <c r="E4" s="127">
        <f>+B4</f>
        <v>52894</v>
      </c>
      <c r="F4" s="137"/>
      <c r="G4" s="174">
        <f>+B7-G6</f>
        <v>46322</v>
      </c>
      <c r="H4" s="174"/>
      <c r="I4" s="174">
        <f>71540-22000</f>
        <v>49540</v>
      </c>
      <c r="K4" s="174">
        <f>+K11-K6</f>
        <v>50510</v>
      </c>
      <c r="L4" s="593">
        <f>+L7-L6</f>
        <v>53618</v>
      </c>
      <c r="M4" s="593">
        <f>+I4*(1+0.02)</f>
        <v>50530.8</v>
      </c>
      <c r="N4" s="593">
        <f>+I4*(1+0.01)</f>
        <v>50035.4</v>
      </c>
      <c r="O4" s="593">
        <f>+I4</f>
        <v>49540</v>
      </c>
      <c r="P4" s="593">
        <f>+I4*(1+0.026)+1110</f>
        <v>51938.04</v>
      </c>
      <c r="Q4" s="143">
        <f>+V4</f>
        <v>56499</v>
      </c>
      <c r="R4" s="593">
        <f>+R7-R6</f>
        <v>58551</v>
      </c>
      <c r="S4" s="593">
        <f t="shared" ref="S4:V4" si="0">+S7-S6</f>
        <v>54000.2</v>
      </c>
      <c r="T4" s="593">
        <f t="shared" si="0"/>
        <v>53255.100000000006</v>
      </c>
      <c r="U4" s="593">
        <f t="shared" si="0"/>
        <v>52510</v>
      </c>
      <c r="V4" s="593">
        <f t="shared" si="0"/>
        <v>56499</v>
      </c>
      <c r="W4" s="931" t="str">
        <f>"20 years of Experience for 2022 plus a COLA 5% per ELCA quidelines = "&amp;ROUND((+Q7-K7)/K7,3)*100&amp;"% increase."</f>
        <v>20 years of Experience for 2022 plus a COLA 5% per ELCA quidelines = 5.4% increase.</v>
      </c>
      <c r="X4" s="932"/>
      <c r="Y4" s="932"/>
    </row>
    <row r="5" spans="1:25" ht="8" hidden="1" customHeight="1">
      <c r="A5" s="172"/>
      <c r="B5" s="175">
        <v>0.3</v>
      </c>
      <c r="C5" s="129"/>
      <c r="D5" s="129"/>
      <c r="E5" s="128">
        <v>0.3</v>
      </c>
      <c r="F5" s="176"/>
      <c r="G5" s="177"/>
      <c r="H5" s="177"/>
      <c r="I5" s="177"/>
      <c r="K5" s="177"/>
      <c r="L5" s="594"/>
      <c r="M5" s="594"/>
      <c r="N5" s="594"/>
      <c r="O5" s="594"/>
      <c r="P5" s="594"/>
      <c r="Q5" s="144"/>
      <c r="R5" s="594"/>
      <c r="S5" s="594"/>
      <c r="T5" s="594"/>
      <c r="U5" s="594"/>
      <c r="V5" s="594"/>
      <c r="W5" s="931"/>
      <c r="X5" s="932"/>
      <c r="Y5" s="932"/>
    </row>
    <row r="6" spans="1:25" ht="16.5" customHeight="1" thickBot="1">
      <c r="A6" s="172" t="s">
        <v>166</v>
      </c>
      <c r="B6" s="178">
        <f>ROUND(+B4*B5,0)</f>
        <v>15868</v>
      </c>
      <c r="C6" s="131">
        <v>22000</v>
      </c>
      <c r="D6" s="131">
        <f>+C6</f>
        <v>22000</v>
      </c>
      <c r="E6" s="130">
        <f>ROUND(+E4*E5,0)</f>
        <v>15868</v>
      </c>
      <c r="F6" s="134"/>
      <c r="G6" s="179">
        <v>22440</v>
      </c>
      <c r="H6" s="179"/>
      <c r="I6" s="179">
        <v>22000</v>
      </c>
      <c r="K6" s="179">
        <v>24000</v>
      </c>
      <c r="L6" s="595">
        <v>22000</v>
      </c>
      <c r="M6" s="596">
        <f>+I6*(1+0.02)</f>
        <v>22440</v>
      </c>
      <c r="N6" s="596">
        <f>+I6*(1+0.01)</f>
        <v>22220</v>
      </c>
      <c r="O6" s="596">
        <f>+I6</f>
        <v>22000</v>
      </c>
      <c r="P6" s="596">
        <f>+I6*(1+0.026)</f>
        <v>22572</v>
      </c>
      <c r="Q6" s="145">
        <v>22000</v>
      </c>
      <c r="R6" s="596">
        <f>+$Q6</f>
        <v>22000</v>
      </c>
      <c r="S6" s="596">
        <f t="shared" ref="S6:V6" si="1">+$Q6</f>
        <v>22000</v>
      </c>
      <c r="T6" s="596">
        <f t="shared" si="1"/>
        <v>22000</v>
      </c>
      <c r="U6" s="596">
        <f t="shared" si="1"/>
        <v>22000</v>
      </c>
      <c r="V6" s="596">
        <f t="shared" si="1"/>
        <v>22000</v>
      </c>
      <c r="W6" s="931"/>
      <c r="X6" s="932"/>
      <c r="Y6" s="932"/>
    </row>
    <row r="7" spans="1:25" ht="14.5" hidden="1" customHeight="1">
      <c r="A7" s="172" t="s">
        <v>167</v>
      </c>
      <c r="B7" s="180">
        <f>+B4+B6</f>
        <v>68762</v>
      </c>
      <c r="C7" s="181">
        <f>+C4+C6</f>
        <v>68762</v>
      </c>
      <c r="D7" s="181">
        <f>+D4+D6</f>
        <v>68762</v>
      </c>
      <c r="E7" s="181">
        <f>+E4+E6</f>
        <v>68762</v>
      </c>
      <c r="F7" s="182"/>
      <c r="G7" s="183">
        <f>+G4+G6</f>
        <v>68762</v>
      </c>
      <c r="H7" s="183"/>
      <c r="I7" s="183">
        <f>+I4+I6</f>
        <v>71540</v>
      </c>
      <c r="K7" s="183">
        <v>74510</v>
      </c>
      <c r="L7" s="632">
        <v>75618</v>
      </c>
      <c r="M7" s="597">
        <f>+M4+M6</f>
        <v>72970.8</v>
      </c>
      <c r="N7" s="597">
        <f>+N4+N6</f>
        <v>72255.399999999994</v>
      </c>
      <c r="O7" s="597">
        <f>+O4+O6</f>
        <v>71540</v>
      </c>
      <c r="P7" s="597">
        <f>+P4+P6</f>
        <v>74510.040000000008</v>
      </c>
      <c r="Q7" s="146">
        <f>+Q4+Q6</f>
        <v>78499</v>
      </c>
      <c r="R7" s="632">
        <v>80551</v>
      </c>
      <c r="S7" s="597">
        <f>+$K7*(1+0.02)</f>
        <v>76000.2</v>
      </c>
      <c r="T7" s="597">
        <f>+$K7*(1+0.01)</f>
        <v>75255.100000000006</v>
      </c>
      <c r="U7" s="597">
        <f>+$K7*(1+0)</f>
        <v>74510</v>
      </c>
      <c r="V7" s="632">
        <f>ROUND(($K7*(1+0.026))+(R7-($K7*(1+0.026)))/2,0)</f>
        <v>78499</v>
      </c>
      <c r="W7" s="837"/>
      <c r="X7" s="838"/>
      <c r="Y7" s="838"/>
    </row>
    <row r="8" spans="1:25" ht="4" hidden="1" customHeight="1">
      <c r="A8" s="184"/>
      <c r="B8" s="184"/>
      <c r="C8" s="185"/>
      <c r="D8" s="185"/>
      <c r="E8" s="185"/>
      <c r="F8" s="186"/>
      <c r="G8" s="177"/>
      <c r="H8" s="177"/>
      <c r="I8" s="177"/>
      <c r="K8" s="177"/>
      <c r="L8" s="594"/>
      <c r="M8" s="594"/>
      <c r="N8" s="594"/>
      <c r="O8" s="594"/>
      <c r="P8" s="594"/>
      <c r="Q8" s="144"/>
      <c r="R8" s="594"/>
      <c r="S8" s="594"/>
      <c r="T8" s="594"/>
      <c r="U8" s="594"/>
      <c r="V8" s="594"/>
      <c r="W8" s="837"/>
      <c r="X8" s="838"/>
      <c r="Y8" s="838"/>
    </row>
    <row r="9" spans="1:25" ht="14.5" hidden="1" customHeight="1">
      <c r="A9" s="172" t="s">
        <v>178</v>
      </c>
      <c r="B9" s="184"/>
      <c r="C9" s="132">
        <f>(23/24)</f>
        <v>0.95833333333333337</v>
      </c>
      <c r="D9" s="132">
        <f>(23/24)</f>
        <v>0.95833333333333337</v>
      </c>
      <c r="E9" s="132">
        <v>1</v>
      </c>
      <c r="F9" s="133">
        <v>1</v>
      </c>
      <c r="G9" s="187">
        <v>1</v>
      </c>
      <c r="H9" s="187"/>
      <c r="I9" s="187">
        <v>1</v>
      </c>
      <c r="K9" s="187">
        <v>1</v>
      </c>
      <c r="L9" s="598">
        <v>1</v>
      </c>
      <c r="M9" s="598">
        <v>1</v>
      </c>
      <c r="N9" s="598">
        <v>1</v>
      </c>
      <c r="O9" s="598">
        <v>1</v>
      </c>
      <c r="P9" s="598">
        <v>1</v>
      </c>
      <c r="Q9" s="138">
        <v>1</v>
      </c>
      <c r="R9" s="598">
        <v>1</v>
      </c>
      <c r="S9" s="598">
        <v>1</v>
      </c>
      <c r="T9" s="598">
        <v>1</v>
      </c>
      <c r="U9" s="598">
        <v>1</v>
      </c>
      <c r="V9" s="598">
        <v>1</v>
      </c>
      <c r="W9" s="837"/>
      <c r="X9" s="838"/>
      <c r="Y9" s="838"/>
    </row>
    <row r="10" spans="1:25" ht="6.5" hidden="1" customHeight="1">
      <c r="A10" s="184"/>
      <c r="B10" s="184"/>
      <c r="C10" s="185"/>
      <c r="D10" s="185"/>
      <c r="E10" s="185"/>
      <c r="F10" s="186"/>
      <c r="G10" s="177"/>
      <c r="H10" s="177"/>
      <c r="I10" s="177"/>
      <c r="K10" s="177"/>
      <c r="L10" s="594"/>
      <c r="M10" s="594"/>
      <c r="N10" s="594"/>
      <c r="O10" s="594"/>
      <c r="P10" s="594"/>
      <c r="Q10" s="144"/>
      <c r="R10" s="594"/>
      <c r="S10" s="594"/>
      <c r="T10" s="594"/>
      <c r="U10" s="594"/>
      <c r="V10" s="594"/>
      <c r="W10" s="837"/>
      <c r="X10" s="838"/>
      <c r="Y10" s="838"/>
    </row>
    <row r="11" spans="1:25" ht="14.5" hidden="1" customHeight="1">
      <c r="A11" s="191" t="s">
        <v>189</v>
      </c>
      <c r="B11" s="192"/>
      <c r="C11" s="193">
        <f>+C7*C9</f>
        <v>65896.916666666672</v>
      </c>
      <c r="D11" s="193">
        <f>+D7*D9</f>
        <v>65896.916666666672</v>
      </c>
      <c r="E11" s="193">
        <f>+E7*E9</f>
        <v>68762</v>
      </c>
      <c r="F11" s="194">
        <f>+C7*F9</f>
        <v>68762</v>
      </c>
      <c r="G11" s="416">
        <f>ROUND(+G7*(1+G12),0)</f>
        <v>70137</v>
      </c>
      <c r="H11" s="195"/>
      <c r="I11" s="416">
        <f>ROUND(+I7*I9,0)</f>
        <v>71540</v>
      </c>
      <c r="K11" s="574">
        <f t="shared" ref="K11" si="2">ROUND(+K7*K9,0)</f>
        <v>74510</v>
      </c>
      <c r="L11" s="601">
        <f t="shared" ref="L11:P11" si="3">ROUND(+L7*L9,0)</f>
        <v>75618</v>
      </c>
      <c r="M11" s="601">
        <f t="shared" si="3"/>
        <v>72971</v>
      </c>
      <c r="N11" s="601">
        <f t="shared" si="3"/>
        <v>72255</v>
      </c>
      <c r="O11" s="601">
        <f>ROUND(+O7*O9,0)</f>
        <v>71540</v>
      </c>
      <c r="P11" s="601">
        <f t="shared" si="3"/>
        <v>74510</v>
      </c>
      <c r="Q11" s="148">
        <f>ROUND(+Q7*Q9,0)</f>
        <v>78499</v>
      </c>
      <c r="R11" s="601">
        <f t="shared" ref="R11:T11" si="4">ROUND(+R7*R9,0)</f>
        <v>80551</v>
      </c>
      <c r="S11" s="601">
        <f t="shared" si="4"/>
        <v>76000</v>
      </c>
      <c r="T11" s="601">
        <f t="shared" si="4"/>
        <v>75255</v>
      </c>
      <c r="U11" s="601">
        <f>ROUND(+U7*U9,0)</f>
        <v>74510</v>
      </c>
      <c r="V11" s="601">
        <f t="shared" ref="V11" si="5">ROUND(+V7*V9,0)</f>
        <v>78499</v>
      </c>
      <c r="W11" s="837"/>
      <c r="X11" s="838"/>
      <c r="Y11" s="838"/>
    </row>
    <row r="12" spans="1:25" hidden="1">
      <c r="A12" s="172" t="s">
        <v>570</v>
      </c>
      <c r="B12" s="184"/>
      <c r="C12" s="188">
        <v>0</v>
      </c>
      <c r="D12" s="188">
        <v>0</v>
      </c>
      <c r="E12" s="188">
        <v>0</v>
      </c>
      <c r="F12" s="189">
        <v>0</v>
      </c>
      <c r="G12" s="425">
        <v>0.02</v>
      </c>
      <c r="H12" s="190"/>
      <c r="I12" s="634">
        <f>+I11/G11-1</f>
        <v>2.0003707030525897E-2</v>
      </c>
      <c r="K12" s="634">
        <f>+K11/I11-1</f>
        <v>4.1515236231478791E-2</v>
      </c>
      <c r="L12" s="599">
        <f>+L11/O11-1</f>
        <v>5.7003075202683773E-2</v>
      </c>
      <c r="M12" s="599">
        <f>+M11/O11-1</f>
        <v>2.0002795638803361E-2</v>
      </c>
      <c r="N12" s="599">
        <f>+N11/O11-1</f>
        <v>9.9944087223931E-3</v>
      </c>
      <c r="O12" s="600">
        <v>0</v>
      </c>
      <c r="P12" s="599">
        <f>+P11/O11-1</f>
        <v>4.1515236231478791E-2</v>
      </c>
      <c r="Q12" s="454">
        <f>+Q11/K11-1</f>
        <v>5.3536438062005143E-2</v>
      </c>
      <c r="R12" s="599">
        <f>+R11/$K11-1</f>
        <v>8.1076365588511612E-2</v>
      </c>
      <c r="S12" s="599">
        <f>+S11/$K11-1</f>
        <v>1.9997315796537407E-2</v>
      </c>
      <c r="T12" s="599">
        <f>+T11/$K11-1</f>
        <v>9.9986578982687035E-3</v>
      </c>
      <c r="U12" s="599">
        <f>+U11/$K11-1</f>
        <v>0</v>
      </c>
      <c r="V12" s="599">
        <f>+V11/$K11-1</f>
        <v>5.3536438062005143E-2</v>
      </c>
      <c r="W12" s="837"/>
      <c r="X12" s="838"/>
      <c r="Y12" s="838"/>
    </row>
    <row r="13" spans="1:25" ht="15" hidden="1" customHeight="1">
      <c r="A13" s="934" t="s">
        <v>547</v>
      </c>
      <c r="B13" s="184"/>
      <c r="C13" s="185"/>
      <c r="D13" s="185"/>
      <c r="E13" s="185"/>
      <c r="F13" s="186"/>
      <c r="G13" s="177"/>
      <c r="H13" s="177"/>
      <c r="I13" s="177"/>
      <c r="K13" s="177"/>
      <c r="L13" s="594"/>
      <c r="M13" s="594"/>
      <c r="N13" s="594"/>
      <c r="O13" s="594"/>
      <c r="P13" s="594"/>
      <c r="Q13" s="144"/>
      <c r="R13" s="594"/>
      <c r="S13" s="594"/>
      <c r="T13" s="594"/>
      <c r="U13" s="594"/>
      <c r="V13" s="594"/>
      <c r="W13" s="1029"/>
      <c r="X13" s="1030"/>
      <c r="Y13" s="1030"/>
    </row>
    <row r="14" spans="1:25" ht="14.5" hidden="1" customHeight="1">
      <c r="A14" s="934"/>
      <c r="B14" s="184"/>
      <c r="C14" s="127">
        <f>+C30</f>
        <v>0</v>
      </c>
      <c r="D14" s="127">
        <f>+D30</f>
        <v>0</v>
      </c>
      <c r="E14" s="127">
        <f>+E30</f>
        <v>8015</v>
      </c>
      <c r="F14" s="137">
        <f>+F30</f>
        <v>0</v>
      </c>
      <c r="G14" s="196">
        <f>+G32</f>
        <v>2600</v>
      </c>
      <c r="H14" s="196"/>
      <c r="I14" s="196">
        <f>+I32</f>
        <v>3467</v>
      </c>
      <c r="K14" s="196">
        <f>+K32</f>
        <v>0</v>
      </c>
      <c r="L14" s="602">
        <f t="shared" ref="L14:P14" si="6">+L32</f>
        <v>0</v>
      </c>
      <c r="M14" s="602">
        <f t="shared" si="6"/>
        <v>3467</v>
      </c>
      <c r="N14" s="602">
        <f t="shared" si="6"/>
        <v>3467</v>
      </c>
      <c r="O14" s="602">
        <f>+O32</f>
        <v>3467</v>
      </c>
      <c r="P14" s="602">
        <f t="shared" si="6"/>
        <v>3467</v>
      </c>
      <c r="Q14" s="139">
        <f>+Q32</f>
        <v>0</v>
      </c>
      <c r="R14" s="602">
        <f t="shared" ref="R14:T14" si="7">+R32</f>
        <v>0</v>
      </c>
      <c r="S14" s="602">
        <f t="shared" si="7"/>
        <v>0</v>
      </c>
      <c r="T14" s="602">
        <f t="shared" si="7"/>
        <v>0</v>
      </c>
      <c r="U14" s="602">
        <f>+U32</f>
        <v>0</v>
      </c>
      <c r="V14" s="602">
        <f t="shared" ref="V14" si="8">+V32</f>
        <v>0</v>
      </c>
      <c r="W14" s="1029"/>
      <c r="X14" s="1030"/>
      <c r="Y14" s="1030"/>
    </row>
    <row r="15" spans="1:25" ht="8" hidden="1" customHeight="1" thickBot="1">
      <c r="A15" s="197"/>
      <c r="B15" s="184"/>
      <c r="C15" s="185"/>
      <c r="D15" s="185"/>
      <c r="E15" s="185"/>
      <c r="F15" s="186"/>
      <c r="G15" s="177"/>
      <c r="H15" s="177"/>
      <c r="I15" s="177"/>
      <c r="K15" s="177"/>
      <c r="L15" s="594"/>
      <c r="M15" s="594"/>
      <c r="N15" s="594"/>
      <c r="O15" s="594"/>
      <c r="P15" s="594"/>
      <c r="Q15" s="144"/>
      <c r="R15" s="594"/>
      <c r="S15" s="594"/>
      <c r="T15" s="594"/>
      <c r="U15" s="594"/>
      <c r="V15" s="594"/>
      <c r="W15" s="821"/>
      <c r="X15" s="821"/>
      <c r="Y15" s="821"/>
    </row>
    <row r="16" spans="1:25" ht="14.5" customHeight="1" thickTop="1">
      <c r="A16" s="191" t="s">
        <v>189</v>
      </c>
      <c r="B16" s="192"/>
      <c r="C16" s="193">
        <f>+C11+C14</f>
        <v>65896.916666666672</v>
      </c>
      <c r="D16" s="193">
        <f>+D11+D14</f>
        <v>65896.916666666672</v>
      </c>
      <c r="E16" s="193">
        <f>+E11+E14</f>
        <v>76777</v>
      </c>
      <c r="F16" s="194">
        <f>+F11+F14</f>
        <v>68762</v>
      </c>
      <c r="G16" s="416">
        <f>+G11+G14</f>
        <v>72737</v>
      </c>
      <c r="H16" s="195">
        <f>50297+22440</f>
        <v>72737</v>
      </c>
      <c r="I16" s="416">
        <f>+I11+I14</f>
        <v>75007</v>
      </c>
      <c r="K16" s="416">
        <f t="shared" ref="K16:V16" si="9">+K11+K14</f>
        <v>74510</v>
      </c>
      <c r="L16" s="601">
        <f t="shared" si="9"/>
        <v>75618</v>
      </c>
      <c r="M16" s="601">
        <f t="shared" si="9"/>
        <v>76438</v>
      </c>
      <c r="N16" s="601">
        <f t="shared" si="9"/>
        <v>75722</v>
      </c>
      <c r="O16" s="601">
        <f t="shared" si="9"/>
        <v>75007</v>
      </c>
      <c r="P16" s="601">
        <f t="shared" si="9"/>
        <v>77977</v>
      </c>
      <c r="Q16" s="148">
        <f t="shared" si="9"/>
        <v>78499</v>
      </c>
      <c r="R16" s="601">
        <f t="shared" si="9"/>
        <v>80551</v>
      </c>
      <c r="S16" s="601">
        <f t="shared" si="9"/>
        <v>76000</v>
      </c>
      <c r="T16" s="601">
        <f t="shared" si="9"/>
        <v>75255</v>
      </c>
      <c r="U16" s="601">
        <f t="shared" si="9"/>
        <v>74510</v>
      </c>
      <c r="V16" s="601">
        <f t="shared" si="9"/>
        <v>78499</v>
      </c>
      <c r="W16" s="942" t="str">
        <f>"To Reach ELCA Guidelines for 2022 Pastor would get an additional 1 week and "&amp;ROUNDUP((R11-Q11-(Q11/52))/(Q11/52/5),0)&amp;" days of vacation."</f>
        <v>To Reach ELCA Guidelines for 2022 Pastor would get an additional 1 week and 2 days of vacation.</v>
      </c>
      <c r="X16" s="943"/>
      <c r="Y16" s="944"/>
    </row>
    <row r="17" spans="1:25" ht="7.5" customHeight="1">
      <c r="A17" s="184"/>
      <c r="B17" s="184"/>
      <c r="C17" s="185"/>
      <c r="D17" s="185"/>
      <c r="E17" s="185"/>
      <c r="F17" s="186"/>
      <c r="G17" s="177"/>
      <c r="H17" s="177"/>
      <c r="I17" s="177"/>
      <c r="K17" s="177"/>
      <c r="L17" s="594"/>
      <c r="M17" s="594"/>
      <c r="N17" s="594"/>
      <c r="O17" s="594"/>
      <c r="P17" s="594"/>
      <c r="Q17" s="144"/>
      <c r="R17" s="594"/>
      <c r="S17" s="594"/>
      <c r="T17" s="594"/>
      <c r="U17" s="594"/>
      <c r="V17" s="594"/>
      <c r="W17" s="945"/>
      <c r="X17" s="946"/>
      <c r="Y17" s="947"/>
    </row>
    <row r="18" spans="1:25">
      <c r="A18" s="184" t="s">
        <v>595</v>
      </c>
      <c r="B18" s="184"/>
      <c r="C18" s="135">
        <v>7.6499999999999999E-2</v>
      </c>
      <c r="D18" s="135">
        <v>7.6499999999999999E-2</v>
      </c>
      <c r="E18" s="135">
        <v>7.6499999999999999E-2</v>
      </c>
      <c r="F18" s="136">
        <v>7.6499999999999999E-2</v>
      </c>
      <c r="G18" s="198">
        <v>7.6499999999999999E-2</v>
      </c>
      <c r="H18" s="198">
        <v>7.6499999999999999E-2</v>
      </c>
      <c r="I18" s="198">
        <v>7.6499999999999999E-2</v>
      </c>
      <c r="K18" s="455">
        <v>7.6499999999999999E-2</v>
      </c>
      <c r="L18" s="603">
        <v>7.6499999999999999E-2</v>
      </c>
      <c r="M18" s="603">
        <v>7.6499999999999999E-2</v>
      </c>
      <c r="N18" s="603">
        <v>7.6499999999999999E-2</v>
      </c>
      <c r="O18" s="603">
        <v>7.6499999999999999E-2</v>
      </c>
      <c r="P18" s="603">
        <v>7.6499999999999999E-2</v>
      </c>
      <c r="Q18" s="642">
        <v>7.6499999999999999E-2</v>
      </c>
      <c r="R18" s="803">
        <f>+$Q18</f>
        <v>7.6499999999999999E-2</v>
      </c>
      <c r="S18" s="804">
        <f t="shared" ref="S18:V18" si="10">+$Q18</f>
        <v>7.6499999999999999E-2</v>
      </c>
      <c r="T18" s="804">
        <f t="shared" si="10"/>
        <v>7.6499999999999999E-2</v>
      </c>
      <c r="U18" s="804">
        <f t="shared" si="10"/>
        <v>7.6499999999999999E-2</v>
      </c>
      <c r="V18" s="804">
        <f t="shared" si="10"/>
        <v>7.6499999999999999E-2</v>
      </c>
      <c r="W18" s="945"/>
      <c r="X18" s="946"/>
      <c r="Y18" s="947"/>
    </row>
    <row r="19" spans="1:25" ht="15" thickBot="1">
      <c r="A19" s="184" t="s">
        <v>304</v>
      </c>
      <c r="B19" s="184"/>
      <c r="C19" s="127">
        <f t="shared" ref="C19:H19" si="11">+C16*C18</f>
        <v>5041.1141250000001</v>
      </c>
      <c r="D19" s="127">
        <f t="shared" si="11"/>
        <v>5041.1141250000001</v>
      </c>
      <c r="E19" s="127">
        <f t="shared" si="11"/>
        <v>5873.4404999999997</v>
      </c>
      <c r="F19" s="137">
        <f t="shared" si="11"/>
        <v>5260.2929999999997</v>
      </c>
      <c r="G19" s="196">
        <f t="shared" si="11"/>
        <v>5564.3805000000002</v>
      </c>
      <c r="H19" s="196">
        <f t="shared" si="11"/>
        <v>5564.3805000000002</v>
      </c>
      <c r="I19" s="196">
        <f>ROUND(+I16*I18,0)</f>
        <v>5738</v>
      </c>
      <c r="J19" s="147"/>
      <c r="K19" s="196">
        <f>ROUND(+K16*K18,0)</f>
        <v>5700</v>
      </c>
      <c r="L19" s="602">
        <f t="shared" ref="L19:P19" si="12">ROUND(+L16*L18,0)</f>
        <v>5785</v>
      </c>
      <c r="M19" s="602">
        <f t="shared" si="12"/>
        <v>5848</v>
      </c>
      <c r="N19" s="602">
        <f t="shared" si="12"/>
        <v>5793</v>
      </c>
      <c r="O19" s="602">
        <f>ROUND(+O16*O18,0)</f>
        <v>5738</v>
      </c>
      <c r="P19" s="602">
        <f t="shared" si="12"/>
        <v>5965</v>
      </c>
      <c r="Q19" s="139">
        <f>ROUND(+Q16*Q18,0)</f>
        <v>6005</v>
      </c>
      <c r="R19" s="602">
        <f t="shared" ref="R19:T19" si="13">ROUND(+R16*R18,0)</f>
        <v>6162</v>
      </c>
      <c r="S19" s="602">
        <f t="shared" si="13"/>
        <v>5814</v>
      </c>
      <c r="T19" s="602">
        <f t="shared" si="13"/>
        <v>5757</v>
      </c>
      <c r="U19" s="602">
        <f>ROUND(+U16*U18,0)</f>
        <v>5700</v>
      </c>
      <c r="V19" s="602">
        <f t="shared" ref="V19" si="14">ROUND(+V16*V18,0)</f>
        <v>6005</v>
      </c>
      <c r="W19" s="948"/>
      <c r="X19" s="949"/>
      <c r="Y19" s="950"/>
    </row>
    <row r="20" spans="1:25" ht="4" customHeight="1" thickTop="1">
      <c r="A20" s="184"/>
      <c r="B20" s="184"/>
      <c r="C20" s="185"/>
      <c r="D20" s="185"/>
      <c r="E20" s="185"/>
      <c r="F20" s="186"/>
      <c r="G20" s="177"/>
      <c r="H20" s="177"/>
      <c r="I20" s="177"/>
      <c r="K20" s="177"/>
      <c r="L20" s="594"/>
      <c r="M20" s="594"/>
      <c r="N20" s="594"/>
      <c r="O20" s="594"/>
      <c r="P20" s="594"/>
      <c r="Q20" s="144"/>
      <c r="R20" s="594"/>
      <c r="S20" s="594"/>
      <c r="T20" s="594"/>
      <c r="U20" s="594"/>
      <c r="V20" s="594"/>
    </row>
    <row r="21" spans="1:25">
      <c r="A21" s="199" t="s">
        <v>192</v>
      </c>
      <c r="B21" s="200"/>
      <c r="C21" s="201">
        <f t="shared" ref="C21:I21" si="15">+C16+C19</f>
        <v>70938.030791666679</v>
      </c>
      <c r="D21" s="201">
        <f t="shared" si="15"/>
        <v>70938.030791666679</v>
      </c>
      <c r="E21" s="201">
        <f t="shared" si="15"/>
        <v>82650.440499999997</v>
      </c>
      <c r="F21" s="202">
        <f t="shared" si="15"/>
        <v>74022.293000000005</v>
      </c>
      <c r="G21" s="203">
        <f t="shared" si="15"/>
        <v>78301.380499999999</v>
      </c>
      <c r="H21" s="203">
        <f t="shared" si="15"/>
        <v>78301.380499999999</v>
      </c>
      <c r="I21" s="203">
        <f t="shared" si="15"/>
        <v>80745</v>
      </c>
      <c r="K21" s="203">
        <f t="shared" ref="K21:V21" si="16">+K16+K19</f>
        <v>80210</v>
      </c>
      <c r="L21" s="604">
        <f t="shared" si="16"/>
        <v>81403</v>
      </c>
      <c r="M21" s="604">
        <f t="shared" si="16"/>
        <v>82286</v>
      </c>
      <c r="N21" s="604">
        <f t="shared" si="16"/>
        <v>81515</v>
      </c>
      <c r="O21" s="604">
        <f t="shared" si="16"/>
        <v>80745</v>
      </c>
      <c r="P21" s="604">
        <f t="shared" si="16"/>
        <v>83942</v>
      </c>
      <c r="Q21" s="150">
        <f t="shared" si="16"/>
        <v>84504</v>
      </c>
      <c r="R21" s="604">
        <f t="shared" si="16"/>
        <v>86713</v>
      </c>
      <c r="S21" s="604">
        <f t="shared" si="16"/>
        <v>81814</v>
      </c>
      <c r="T21" s="604">
        <f t="shared" si="16"/>
        <v>81012</v>
      </c>
      <c r="U21" s="604">
        <f t="shared" si="16"/>
        <v>80210</v>
      </c>
      <c r="V21" s="604">
        <f t="shared" si="16"/>
        <v>84504</v>
      </c>
    </row>
    <row r="22" spans="1:25">
      <c r="A22" s="204"/>
      <c r="B22" s="204"/>
      <c r="C22" s="204"/>
      <c r="D22" s="204"/>
      <c r="E22" s="204"/>
      <c r="F22" s="204"/>
      <c r="G22" s="204"/>
      <c r="H22" s="204"/>
      <c r="I22" s="204"/>
      <c r="K22" s="204"/>
      <c r="L22" s="204"/>
      <c r="M22" s="204"/>
      <c r="N22" s="204"/>
      <c r="O22" s="204"/>
      <c r="P22" s="204"/>
      <c r="Q22" s="204"/>
      <c r="R22" s="204"/>
      <c r="S22" s="204"/>
      <c r="T22" s="204"/>
      <c r="U22" s="204"/>
      <c r="V22" s="204"/>
      <c r="Y22" s="147"/>
    </row>
    <row r="23" spans="1:25">
      <c r="A23" s="205" t="s">
        <v>197</v>
      </c>
      <c r="B23" s="170"/>
      <c r="C23" s="206"/>
      <c r="D23" s="206"/>
      <c r="E23" s="206"/>
      <c r="F23" s="207"/>
      <c r="G23" s="171"/>
      <c r="H23" s="207"/>
      <c r="I23" s="171"/>
      <c r="K23" s="171"/>
      <c r="L23" s="592"/>
      <c r="M23" s="605"/>
      <c r="N23" s="605"/>
      <c r="O23" s="605"/>
      <c r="P23" s="605"/>
      <c r="Q23" s="142"/>
      <c r="R23" s="592"/>
      <c r="S23" s="605"/>
      <c r="T23" s="605"/>
      <c r="U23" s="605"/>
      <c r="V23" s="605"/>
    </row>
    <row r="24" spans="1:25">
      <c r="A24" s="184" t="s">
        <v>193</v>
      </c>
      <c r="B24" s="184"/>
      <c r="C24" s="127">
        <f>6011.15*C9</f>
        <v>5760.6854166666662</v>
      </c>
      <c r="D24" s="127"/>
      <c r="E24" s="127">
        <f>6011.15*E9</f>
        <v>6011.15</v>
      </c>
      <c r="F24" s="137">
        <f>6011.15</f>
        <v>6011.15</v>
      </c>
      <c r="G24" s="421">
        <v>4973</v>
      </c>
      <c r="H24" s="134"/>
      <c r="I24" s="421">
        <v>5121</v>
      </c>
      <c r="J24" s="572"/>
      <c r="K24" s="421">
        <v>5121</v>
      </c>
      <c r="L24" s="606">
        <v>5121</v>
      </c>
      <c r="M24" s="607">
        <v>5121</v>
      </c>
      <c r="N24" s="607">
        <v>5121</v>
      </c>
      <c r="O24" s="607">
        <v>5121</v>
      </c>
      <c r="P24" s="607">
        <v>5121</v>
      </c>
      <c r="Q24" s="641">
        <v>5385</v>
      </c>
      <c r="R24" s="602">
        <f>+$Q24</f>
        <v>5385</v>
      </c>
      <c r="S24" s="602">
        <f t="shared" ref="S24:V25" si="17">+$Q24</f>
        <v>5385</v>
      </c>
      <c r="T24" s="602">
        <f t="shared" si="17"/>
        <v>5385</v>
      </c>
      <c r="U24" s="602">
        <f t="shared" si="17"/>
        <v>5385</v>
      </c>
      <c r="V24" s="602">
        <f t="shared" si="17"/>
        <v>5385</v>
      </c>
      <c r="W24" s="140" t="s">
        <v>509</v>
      </c>
    </row>
    <row r="25" spans="1:25">
      <c r="A25" s="184" t="s">
        <v>215</v>
      </c>
      <c r="B25" s="184"/>
      <c r="C25" s="126">
        <v>0</v>
      </c>
      <c r="D25" s="126">
        <v>0</v>
      </c>
      <c r="E25" s="126">
        <v>0</v>
      </c>
      <c r="F25" s="134">
        <v>0</v>
      </c>
      <c r="G25" s="421">
        <v>2600</v>
      </c>
      <c r="H25" s="134"/>
      <c r="I25" s="421">
        <v>2600</v>
      </c>
      <c r="J25" s="147"/>
      <c r="K25" s="421">
        <v>2600</v>
      </c>
      <c r="L25" s="606">
        <v>2600</v>
      </c>
      <c r="M25" s="607">
        <v>2600</v>
      </c>
      <c r="N25" s="607">
        <v>2600</v>
      </c>
      <c r="O25" s="607">
        <v>2600</v>
      </c>
      <c r="P25" s="607">
        <v>2600</v>
      </c>
      <c r="Q25" s="641">
        <v>4420</v>
      </c>
      <c r="R25" s="602">
        <f>+$Q25</f>
        <v>4420</v>
      </c>
      <c r="S25" s="602">
        <f t="shared" si="17"/>
        <v>4420</v>
      </c>
      <c r="T25" s="602">
        <f t="shared" si="17"/>
        <v>4420</v>
      </c>
      <c r="U25" s="602">
        <f t="shared" si="17"/>
        <v>4420</v>
      </c>
      <c r="V25" s="602">
        <f t="shared" si="17"/>
        <v>4420</v>
      </c>
      <c r="W25" s="140" t="s">
        <v>509</v>
      </c>
    </row>
    <row r="26" spans="1:25" ht="14.5" hidden="1" customHeight="1">
      <c r="A26" s="184" t="s">
        <v>216</v>
      </c>
      <c r="B26" s="184"/>
      <c r="C26" s="127">
        <f>+C24+C25</f>
        <v>5760.6854166666662</v>
      </c>
      <c r="D26" s="127">
        <f>+D24+D25</f>
        <v>0</v>
      </c>
      <c r="E26" s="127">
        <f>+E24+E25</f>
        <v>6011.15</v>
      </c>
      <c r="F26" s="137">
        <f>+F24+F25</f>
        <v>6011.15</v>
      </c>
      <c r="G26" s="196">
        <f>+G24+G25</f>
        <v>7573</v>
      </c>
      <c r="H26" s="134"/>
      <c r="I26" s="196">
        <f>+I24+I25</f>
        <v>7721</v>
      </c>
      <c r="J26" s="938" t="s">
        <v>318</v>
      </c>
      <c r="K26" s="196">
        <f>+K24+K25</f>
        <v>7721</v>
      </c>
      <c r="L26" s="602">
        <f t="shared" ref="L26:P26" si="18">+L24+L25</f>
        <v>7721</v>
      </c>
      <c r="M26" s="608">
        <f t="shared" si="18"/>
        <v>7721</v>
      </c>
      <c r="N26" s="608">
        <f t="shared" si="18"/>
        <v>7721</v>
      </c>
      <c r="O26" s="608">
        <f>+O24+O25</f>
        <v>7721</v>
      </c>
      <c r="P26" s="608">
        <f t="shared" si="18"/>
        <v>7721</v>
      </c>
      <c r="Q26" s="139">
        <f>+Q24+Q25</f>
        <v>9805</v>
      </c>
      <c r="R26" s="602">
        <f t="shared" ref="R26:T26" si="19">+R24+R25</f>
        <v>9805</v>
      </c>
      <c r="S26" s="608">
        <f t="shared" si="19"/>
        <v>9805</v>
      </c>
      <c r="T26" s="608">
        <f t="shared" si="19"/>
        <v>9805</v>
      </c>
      <c r="U26" s="608">
        <f>+U24+U25</f>
        <v>9805</v>
      </c>
      <c r="V26" s="608">
        <f t="shared" ref="V26" si="20">+V24+V25</f>
        <v>9805</v>
      </c>
    </row>
    <row r="27" spans="1:25" ht="5" hidden="1" customHeight="1">
      <c r="A27" s="184"/>
      <c r="B27" s="184"/>
      <c r="C27" s="135">
        <v>0.25</v>
      </c>
      <c r="D27" s="135"/>
      <c r="E27" s="135">
        <v>0.25</v>
      </c>
      <c r="F27" s="136">
        <v>0.25</v>
      </c>
      <c r="G27" s="455">
        <v>0.25</v>
      </c>
      <c r="H27" s="136"/>
      <c r="I27" s="455"/>
      <c r="J27" s="938"/>
      <c r="K27" s="455"/>
      <c r="L27" s="609"/>
      <c r="M27" s="610"/>
      <c r="N27" s="610"/>
      <c r="O27" s="610"/>
      <c r="P27" s="610"/>
      <c r="Q27" s="642"/>
      <c r="R27" s="609"/>
      <c r="S27" s="610"/>
      <c r="T27" s="610"/>
      <c r="U27" s="610"/>
      <c r="V27" s="610"/>
    </row>
    <row r="28" spans="1:25" hidden="1">
      <c r="A28" s="192" t="s">
        <v>195</v>
      </c>
      <c r="B28" s="192"/>
      <c r="C28" s="208">
        <f>ROUND(+C26/(1-C27),0)</f>
        <v>7681</v>
      </c>
      <c r="D28" s="209">
        <v>8015</v>
      </c>
      <c r="E28" s="208">
        <f>ROUND(+E26/(1-E27),0)</f>
        <v>8015</v>
      </c>
      <c r="F28" s="208">
        <f>ROUND(+F26/(1-F27),0)</f>
        <v>8015</v>
      </c>
      <c r="G28" s="422">
        <f>ROUND(+G26/(1-G27),0)</f>
        <v>10097</v>
      </c>
      <c r="H28" s="210"/>
      <c r="I28" s="422">
        <f>+I26</f>
        <v>7721</v>
      </c>
      <c r="J28" s="938"/>
      <c r="K28" s="422">
        <f>+K24+K25</f>
        <v>7721</v>
      </c>
      <c r="L28" s="611">
        <f t="shared" ref="L28:P28" si="21">+L26</f>
        <v>7721</v>
      </c>
      <c r="M28" s="612">
        <f t="shared" si="21"/>
        <v>7721</v>
      </c>
      <c r="N28" s="612">
        <f t="shared" si="21"/>
        <v>7721</v>
      </c>
      <c r="O28" s="612">
        <f>+O26</f>
        <v>7721</v>
      </c>
      <c r="P28" s="612">
        <f t="shared" si="21"/>
        <v>7721</v>
      </c>
      <c r="Q28" s="643">
        <f>+Q24+Q25</f>
        <v>9805</v>
      </c>
      <c r="R28" s="611">
        <f t="shared" ref="R28:T28" si="22">+R26</f>
        <v>9805</v>
      </c>
      <c r="S28" s="612">
        <f t="shared" si="22"/>
        <v>9805</v>
      </c>
      <c r="T28" s="612">
        <f t="shared" si="22"/>
        <v>9805</v>
      </c>
      <c r="U28" s="612">
        <f>+U26</f>
        <v>9805</v>
      </c>
      <c r="V28" s="612">
        <f t="shared" ref="V28" si="23">+V26</f>
        <v>9805</v>
      </c>
      <c r="W28" s="140" t="s">
        <v>594</v>
      </c>
    </row>
    <row r="29" spans="1:25" ht="3.5" hidden="1" customHeight="1">
      <c r="A29" s="184"/>
      <c r="B29" s="184"/>
      <c r="C29" s="127"/>
      <c r="D29" s="127"/>
      <c r="E29" s="127"/>
      <c r="F29" s="186"/>
      <c r="G29" s="177"/>
      <c r="H29" s="186"/>
      <c r="I29" s="177"/>
      <c r="J29" s="938"/>
      <c r="K29" s="177"/>
      <c r="L29" s="594"/>
      <c r="M29" s="613"/>
      <c r="N29" s="613"/>
      <c r="O29" s="613"/>
      <c r="P29" s="613"/>
      <c r="Q29" s="144"/>
      <c r="R29" s="594"/>
      <c r="S29" s="613"/>
      <c r="T29" s="613"/>
      <c r="U29" s="613"/>
      <c r="V29" s="613"/>
    </row>
    <row r="30" spans="1:25" hidden="1">
      <c r="A30" s="184" t="s">
        <v>319</v>
      </c>
      <c r="B30" s="184"/>
      <c r="C30" s="126">
        <v>0</v>
      </c>
      <c r="D30" s="126">
        <v>0</v>
      </c>
      <c r="E30" s="126">
        <v>8015</v>
      </c>
      <c r="F30" s="134">
        <v>0</v>
      </c>
      <c r="G30" s="421"/>
      <c r="H30" s="134"/>
      <c r="I30" s="421">
        <v>2600</v>
      </c>
      <c r="J30" s="938"/>
      <c r="K30" s="421">
        <v>0</v>
      </c>
      <c r="L30" s="606">
        <v>0</v>
      </c>
      <c r="M30" s="607">
        <v>2600</v>
      </c>
      <c r="N30" s="607">
        <v>2600</v>
      </c>
      <c r="O30" s="607">
        <v>2600</v>
      </c>
      <c r="P30" s="607">
        <v>2600</v>
      </c>
      <c r="Q30" s="641">
        <v>0</v>
      </c>
      <c r="R30" s="602">
        <f>+$Q30</f>
        <v>0</v>
      </c>
      <c r="S30" s="602">
        <f t="shared" ref="S30:V30" si="24">+$Q30</f>
        <v>0</v>
      </c>
      <c r="T30" s="602">
        <f t="shared" si="24"/>
        <v>0</v>
      </c>
      <c r="U30" s="602">
        <f t="shared" si="24"/>
        <v>0</v>
      </c>
      <c r="V30" s="602">
        <f t="shared" si="24"/>
        <v>0</v>
      </c>
    </row>
    <row r="31" spans="1:25" hidden="1">
      <c r="A31" s="184" t="s">
        <v>571</v>
      </c>
      <c r="B31" s="184"/>
      <c r="C31" s="135">
        <v>0.25</v>
      </c>
      <c r="D31" s="135"/>
      <c r="E31" s="135">
        <v>0.25</v>
      </c>
      <c r="F31" s="136">
        <v>0.25</v>
      </c>
      <c r="G31" s="198"/>
      <c r="H31" s="136"/>
      <c r="I31" s="455">
        <v>0.25</v>
      </c>
      <c r="J31" s="938"/>
      <c r="K31" s="455">
        <v>0.25</v>
      </c>
      <c r="L31" s="609">
        <v>0.25</v>
      </c>
      <c r="M31" s="610">
        <v>0.25</v>
      </c>
      <c r="N31" s="610">
        <v>0.25</v>
      </c>
      <c r="O31" s="610">
        <v>0.25</v>
      </c>
      <c r="P31" s="610">
        <v>0.25</v>
      </c>
      <c r="Q31" s="642">
        <v>0.25</v>
      </c>
      <c r="R31" s="803">
        <f>+$Q31</f>
        <v>0.25</v>
      </c>
      <c r="S31" s="803">
        <f t="shared" ref="S31:V31" si="25">+$Q31</f>
        <v>0.25</v>
      </c>
      <c r="T31" s="803">
        <f t="shared" si="25"/>
        <v>0.25</v>
      </c>
      <c r="U31" s="803">
        <f t="shared" si="25"/>
        <v>0.25</v>
      </c>
      <c r="V31" s="803">
        <f t="shared" si="25"/>
        <v>0.25</v>
      </c>
    </row>
    <row r="32" spans="1:25" hidden="1">
      <c r="A32" s="192" t="s">
        <v>357</v>
      </c>
      <c r="B32" s="192"/>
      <c r="C32" s="457"/>
      <c r="D32" s="457"/>
      <c r="E32" s="457"/>
      <c r="F32" s="458"/>
      <c r="G32" s="459">
        <v>2600</v>
      </c>
      <c r="H32" s="458"/>
      <c r="I32" s="422">
        <f>ROUND(+I30/(1-I31),0)</f>
        <v>3467</v>
      </c>
      <c r="J32" s="456"/>
      <c r="K32" s="422">
        <f>ROUND(+K30/(1-K31),0)</f>
        <v>0</v>
      </c>
      <c r="L32" s="611">
        <f t="shared" ref="L32:P32" si="26">ROUND(+L30/(1-L31),0)</f>
        <v>0</v>
      </c>
      <c r="M32" s="612">
        <f t="shared" si="26"/>
        <v>3467</v>
      </c>
      <c r="N32" s="612">
        <f t="shared" si="26"/>
        <v>3467</v>
      </c>
      <c r="O32" s="612">
        <f>ROUND(+O30/(1-O31),0)</f>
        <v>3467</v>
      </c>
      <c r="P32" s="612">
        <f t="shared" si="26"/>
        <v>3467</v>
      </c>
      <c r="Q32" s="643">
        <f>ROUND(+Q30/(1-Q31),0)</f>
        <v>0</v>
      </c>
      <c r="R32" s="611">
        <f t="shared" ref="R32:T32" si="27">ROUND(+R30/(1-R31),0)</f>
        <v>0</v>
      </c>
      <c r="S32" s="612">
        <f t="shared" si="27"/>
        <v>0</v>
      </c>
      <c r="T32" s="612">
        <f t="shared" si="27"/>
        <v>0</v>
      </c>
      <c r="U32" s="612">
        <f>ROUND(+U30/(1-U31),0)</f>
        <v>0</v>
      </c>
      <c r="V32" s="612">
        <f t="shared" ref="V32" si="28">ROUND(+V30/(1-V31),0)</f>
        <v>0</v>
      </c>
    </row>
    <row r="33" spans="1:22">
      <c r="A33" s="199" t="s">
        <v>196</v>
      </c>
      <c r="B33" s="199"/>
      <c r="C33" s="201">
        <f>+C28-C30</f>
        <v>7681</v>
      </c>
      <c r="D33" s="201">
        <f>+D28-D30</f>
        <v>8015</v>
      </c>
      <c r="E33" s="201">
        <f>+E28-E30</f>
        <v>0</v>
      </c>
      <c r="F33" s="202">
        <f>+F28-F30</f>
        <v>8015</v>
      </c>
      <c r="G33" s="203">
        <f>+G28-G32</f>
        <v>7497</v>
      </c>
      <c r="H33" s="202"/>
      <c r="I33" s="203">
        <f>+I26-I30</f>
        <v>5121</v>
      </c>
      <c r="K33" s="203">
        <f>+K26-K30</f>
        <v>7721</v>
      </c>
      <c r="L33" s="604">
        <f t="shared" ref="L33:P33" si="29">+L26-L30</f>
        <v>7721</v>
      </c>
      <c r="M33" s="614">
        <f t="shared" si="29"/>
        <v>5121</v>
      </c>
      <c r="N33" s="614">
        <f t="shared" si="29"/>
        <v>5121</v>
      </c>
      <c r="O33" s="614">
        <f>+O26-O30</f>
        <v>5121</v>
      </c>
      <c r="P33" s="614">
        <f t="shared" si="29"/>
        <v>5121</v>
      </c>
      <c r="Q33" s="150">
        <f>+Q26-Q30</f>
        <v>9805</v>
      </c>
      <c r="R33" s="604">
        <f t="shared" ref="R33:T33" si="30">+R26-R30</f>
        <v>9805</v>
      </c>
      <c r="S33" s="614">
        <f t="shared" si="30"/>
        <v>9805</v>
      </c>
      <c r="T33" s="614">
        <f t="shared" si="30"/>
        <v>9805</v>
      </c>
      <c r="U33" s="614">
        <f>+U26-U30</f>
        <v>9805</v>
      </c>
      <c r="V33" s="614">
        <f t="shared" ref="V33" si="31">+V26-V30</f>
        <v>9805</v>
      </c>
    </row>
    <row r="34" spans="1:22">
      <c r="A34" s="204"/>
      <c r="B34" s="204"/>
      <c r="C34" s="204"/>
      <c r="D34" s="204"/>
      <c r="E34" s="204"/>
      <c r="F34" s="204"/>
      <c r="G34" s="204"/>
      <c r="H34" s="204"/>
      <c r="I34" s="204"/>
      <c r="K34" s="204"/>
      <c r="L34" s="204"/>
      <c r="M34" s="204"/>
      <c r="N34" s="204"/>
      <c r="O34" s="204"/>
      <c r="P34" s="204"/>
      <c r="Q34" s="204"/>
      <c r="R34" s="204"/>
      <c r="S34" s="204"/>
      <c r="T34" s="204"/>
      <c r="U34" s="204"/>
      <c r="V34" s="204"/>
    </row>
    <row r="35" spans="1:22">
      <c r="A35" s="205" t="s">
        <v>572</v>
      </c>
      <c r="B35" s="170"/>
      <c r="C35" s="211">
        <v>0.11</v>
      </c>
      <c r="D35" s="211">
        <v>0.11</v>
      </c>
      <c r="E35" s="211">
        <v>0.11</v>
      </c>
      <c r="F35" s="211">
        <v>0.11</v>
      </c>
      <c r="G35" s="423">
        <v>0.11</v>
      </c>
      <c r="H35" s="211"/>
      <c r="I35" s="423">
        <v>0.11</v>
      </c>
      <c r="K35" s="423">
        <v>0.11</v>
      </c>
      <c r="L35" s="620">
        <v>0.11</v>
      </c>
      <c r="M35" s="615">
        <v>0.11</v>
      </c>
      <c r="N35" s="615">
        <v>0.11</v>
      </c>
      <c r="O35" s="615">
        <v>0.11</v>
      </c>
      <c r="P35" s="615">
        <v>0.11</v>
      </c>
      <c r="Q35" s="637">
        <v>0.11</v>
      </c>
      <c r="R35" s="802">
        <f>+$Q35</f>
        <v>0.11</v>
      </c>
      <c r="S35" s="802">
        <f t="shared" ref="S35:V35" si="32">+$Q35</f>
        <v>0.11</v>
      </c>
      <c r="T35" s="802">
        <f t="shared" si="32"/>
        <v>0.11</v>
      </c>
      <c r="U35" s="802">
        <f t="shared" si="32"/>
        <v>0.11</v>
      </c>
      <c r="V35" s="802">
        <f t="shared" si="32"/>
        <v>0.11</v>
      </c>
    </row>
    <row r="36" spans="1:22">
      <c r="A36" s="184" t="s">
        <v>200</v>
      </c>
      <c r="B36" s="184"/>
      <c r="C36" s="157">
        <f>+C21</f>
        <v>70938.030791666679</v>
      </c>
      <c r="D36" s="157">
        <f>+D21</f>
        <v>70938.030791666679</v>
      </c>
      <c r="E36" s="157">
        <f>+E21</f>
        <v>82650.440499999997</v>
      </c>
      <c r="F36" s="157">
        <f>+F21</f>
        <v>74022.293000000005</v>
      </c>
      <c r="G36" s="174">
        <f>+G21</f>
        <v>78301.380499999999</v>
      </c>
      <c r="H36" s="157"/>
      <c r="I36" s="174">
        <f>+I21</f>
        <v>80745</v>
      </c>
      <c r="K36" s="174">
        <f>+K21</f>
        <v>80210</v>
      </c>
      <c r="L36" s="593">
        <f t="shared" ref="L36:P36" si="33">+L21</f>
        <v>81403</v>
      </c>
      <c r="M36" s="616">
        <f t="shared" si="33"/>
        <v>82286</v>
      </c>
      <c r="N36" s="616">
        <f t="shared" si="33"/>
        <v>81515</v>
      </c>
      <c r="O36" s="616">
        <f>+O21</f>
        <v>80745</v>
      </c>
      <c r="P36" s="616">
        <f t="shared" si="33"/>
        <v>83942</v>
      </c>
      <c r="Q36" s="143">
        <f>+Q21</f>
        <v>84504</v>
      </c>
      <c r="R36" s="593">
        <f t="shared" ref="R36:T36" si="34">+R21</f>
        <v>86713</v>
      </c>
      <c r="S36" s="616">
        <f t="shared" si="34"/>
        <v>81814</v>
      </c>
      <c r="T36" s="616">
        <f t="shared" si="34"/>
        <v>81012</v>
      </c>
      <c r="U36" s="616">
        <f>+U21</f>
        <v>80210</v>
      </c>
      <c r="V36" s="616">
        <f t="shared" ref="V36" si="35">+V21</f>
        <v>84504</v>
      </c>
    </row>
    <row r="37" spans="1:22">
      <c r="A37" s="184" t="s">
        <v>170</v>
      </c>
      <c r="B37" s="184"/>
      <c r="C37" s="157">
        <f>+C36*C35</f>
        <v>7803.1833870833343</v>
      </c>
      <c r="D37" s="213">
        <f>((+D36+D38)+(D18*D28))*D35</f>
        <v>8752.2796120833355</v>
      </c>
      <c r="E37" s="157">
        <f>+E36*E35</f>
        <v>9091.5484550000001</v>
      </c>
      <c r="F37" s="157">
        <f>+F36*F35</f>
        <v>8142.4522300000008</v>
      </c>
      <c r="G37" s="174">
        <f>ROUND(+G36*G35,0)</f>
        <v>8613</v>
      </c>
      <c r="H37" s="222">
        <v>8613</v>
      </c>
      <c r="I37" s="174">
        <f>ROUND(+I36*I35,0)</f>
        <v>8882</v>
      </c>
      <c r="K37" s="174">
        <f>ROUND(+K36*K35,0)</f>
        <v>8823</v>
      </c>
      <c r="L37" s="593">
        <f t="shared" ref="L37:P37" si="36">ROUND(+L36*L35,0)</f>
        <v>8954</v>
      </c>
      <c r="M37" s="616">
        <f t="shared" si="36"/>
        <v>9051</v>
      </c>
      <c r="N37" s="616">
        <f t="shared" si="36"/>
        <v>8967</v>
      </c>
      <c r="O37" s="616">
        <f>ROUND(+O36*O35,0)</f>
        <v>8882</v>
      </c>
      <c r="P37" s="616">
        <f t="shared" si="36"/>
        <v>9234</v>
      </c>
      <c r="Q37" s="143">
        <f>ROUND(+Q36*Q35,0)</f>
        <v>9295</v>
      </c>
      <c r="R37" s="593">
        <f t="shared" ref="R37:T37" si="37">ROUND(+R36*R35,0)</f>
        <v>9538</v>
      </c>
      <c r="S37" s="616">
        <f t="shared" si="37"/>
        <v>9000</v>
      </c>
      <c r="T37" s="616">
        <f t="shared" si="37"/>
        <v>8911</v>
      </c>
      <c r="U37" s="616">
        <f>ROUND(+U36*U35,0)</f>
        <v>8823</v>
      </c>
      <c r="V37" s="616">
        <f t="shared" ref="V37" si="38">ROUND(+V36*V35,0)</f>
        <v>9295</v>
      </c>
    </row>
    <row r="38" spans="1:22">
      <c r="A38" s="184" t="s">
        <v>198</v>
      </c>
      <c r="B38" s="184"/>
      <c r="C38" s="157">
        <f>+C33</f>
        <v>7681</v>
      </c>
      <c r="D38" s="157">
        <f>+D33</f>
        <v>8015</v>
      </c>
      <c r="E38" s="157">
        <f>+E33</f>
        <v>0</v>
      </c>
      <c r="F38" s="157">
        <f>+F33</f>
        <v>8015</v>
      </c>
      <c r="G38" s="174">
        <f>+G33</f>
        <v>7497</v>
      </c>
      <c r="H38" s="222">
        <v>5090</v>
      </c>
      <c r="I38" s="174">
        <f>+I33</f>
        <v>5121</v>
      </c>
      <c r="K38" s="174">
        <f>+K33</f>
        <v>7721</v>
      </c>
      <c r="L38" s="593">
        <f t="shared" ref="L38:P38" si="39">+L33</f>
        <v>7721</v>
      </c>
      <c r="M38" s="616">
        <f t="shared" si="39"/>
        <v>5121</v>
      </c>
      <c r="N38" s="616">
        <f t="shared" si="39"/>
        <v>5121</v>
      </c>
      <c r="O38" s="616">
        <f>+O33</f>
        <v>5121</v>
      </c>
      <c r="P38" s="616">
        <f t="shared" si="39"/>
        <v>5121</v>
      </c>
      <c r="Q38" s="143">
        <f>+Q33</f>
        <v>9805</v>
      </c>
      <c r="R38" s="593">
        <f t="shared" ref="R38:T38" si="40">+R33</f>
        <v>9805</v>
      </c>
      <c r="S38" s="616">
        <f t="shared" si="40"/>
        <v>9805</v>
      </c>
      <c r="T38" s="616">
        <f t="shared" si="40"/>
        <v>9805</v>
      </c>
      <c r="U38" s="616">
        <f>+U33</f>
        <v>9805</v>
      </c>
      <c r="V38" s="616">
        <f t="shared" ref="V38" si="41">+V33</f>
        <v>9805</v>
      </c>
    </row>
    <row r="39" spans="1:22">
      <c r="A39" s="464" t="s">
        <v>321</v>
      </c>
      <c r="B39" s="464"/>
      <c r="C39" s="465">
        <f t="shared" ref="C39:H39" si="42">+C37+C38</f>
        <v>15484.183387083334</v>
      </c>
      <c r="D39" s="465">
        <f t="shared" si="42"/>
        <v>16767.279612083337</v>
      </c>
      <c r="E39" s="465">
        <f t="shared" si="42"/>
        <v>9091.5484550000001</v>
      </c>
      <c r="F39" s="465">
        <f t="shared" si="42"/>
        <v>16157.452230000001</v>
      </c>
      <c r="G39" s="466">
        <f t="shared" si="42"/>
        <v>16110</v>
      </c>
      <c r="H39" s="655">
        <f t="shared" si="42"/>
        <v>13703</v>
      </c>
      <c r="I39" s="466">
        <f t="shared" ref="I39:Q39" si="43">+I37+I38</f>
        <v>14003</v>
      </c>
      <c r="K39" s="466">
        <f t="shared" ref="K39" si="44">+K37+K38</f>
        <v>16544</v>
      </c>
      <c r="L39" s="621">
        <f t="shared" si="43"/>
        <v>16675</v>
      </c>
      <c r="M39" s="617">
        <f t="shared" si="43"/>
        <v>14172</v>
      </c>
      <c r="N39" s="617">
        <f t="shared" si="43"/>
        <v>14088</v>
      </c>
      <c r="O39" s="617">
        <f t="shared" ref="O39" si="45">+O37+O38</f>
        <v>14003</v>
      </c>
      <c r="P39" s="617">
        <f t="shared" si="43"/>
        <v>14355</v>
      </c>
      <c r="Q39" s="638">
        <f t="shared" si="43"/>
        <v>19100</v>
      </c>
      <c r="R39" s="621">
        <f t="shared" ref="R39:V39" si="46">+R37+R38</f>
        <v>19343</v>
      </c>
      <c r="S39" s="617">
        <f t="shared" si="46"/>
        <v>18805</v>
      </c>
      <c r="T39" s="617">
        <f t="shared" si="46"/>
        <v>18716</v>
      </c>
      <c r="U39" s="617">
        <f t="shared" si="46"/>
        <v>18628</v>
      </c>
      <c r="V39" s="617">
        <f t="shared" si="46"/>
        <v>19100</v>
      </c>
    </row>
    <row r="40" spans="1:22">
      <c r="A40" s="184" t="s">
        <v>203</v>
      </c>
      <c r="B40" s="184"/>
      <c r="C40" s="460">
        <f>+C39/C36</f>
        <v>0.21827760390696258</v>
      </c>
      <c r="D40" s="460">
        <f>+D39/D36</f>
        <v>0.23636516865440033</v>
      </c>
      <c r="E40" s="460">
        <f>+E39/E36</f>
        <v>0.11</v>
      </c>
      <c r="F40" s="460">
        <f>+F39/F36</f>
        <v>0.2182781912740801</v>
      </c>
      <c r="G40" s="461">
        <f>+G39/G36</f>
        <v>0.20574349899233257</v>
      </c>
      <c r="H40" s="460"/>
      <c r="I40" s="461">
        <f>+I39/I36</f>
        <v>0.17342250294135861</v>
      </c>
      <c r="K40" s="461">
        <f>+K39/K36</f>
        <v>0.20625857125046751</v>
      </c>
      <c r="L40" s="622">
        <f t="shared" ref="L40:P40" si="47">+L39/L36</f>
        <v>0.20484503028143927</v>
      </c>
      <c r="M40" s="618">
        <f t="shared" si="47"/>
        <v>0.1722285686508033</v>
      </c>
      <c r="N40" s="618">
        <f t="shared" si="47"/>
        <v>0.17282708703919525</v>
      </c>
      <c r="O40" s="618">
        <f>+O39/O36</f>
        <v>0.17342250294135861</v>
      </c>
      <c r="P40" s="618">
        <f t="shared" si="47"/>
        <v>0.17101093612256082</v>
      </c>
      <c r="Q40" s="639">
        <f>+Q39/Q36</f>
        <v>0.22602480355959481</v>
      </c>
      <c r="R40" s="622">
        <f t="shared" ref="R40:T40" si="48">+R39/R36</f>
        <v>0.22306920530946917</v>
      </c>
      <c r="S40" s="618">
        <f t="shared" si="48"/>
        <v>0.22985063681032586</v>
      </c>
      <c r="T40" s="618">
        <f t="shared" si="48"/>
        <v>0.23102750209845455</v>
      </c>
      <c r="U40" s="618">
        <f>+U39/U36</f>
        <v>0.23224036903129286</v>
      </c>
      <c r="V40" s="618">
        <f t="shared" ref="V40" si="49">+V39/V36</f>
        <v>0.22602480355959481</v>
      </c>
    </row>
    <row r="41" spans="1:22">
      <c r="A41" s="184" t="s">
        <v>320</v>
      </c>
      <c r="B41" s="184"/>
      <c r="C41" s="460">
        <f>+C40/C37</f>
        <v>2.7972891713435705E-5</v>
      </c>
      <c r="D41" s="460">
        <f>+D40/D37</f>
        <v>2.7006126304291768E-5</v>
      </c>
      <c r="E41" s="460">
        <f>+E40/E37</f>
        <v>1.2099149066241214E-5</v>
      </c>
      <c r="F41" s="460">
        <f>+F40/F37</f>
        <v>2.6807426695100191E-5</v>
      </c>
      <c r="G41" s="461"/>
      <c r="H41" s="460"/>
      <c r="I41" s="635">
        <v>0.17499999999999999</v>
      </c>
      <c r="K41" s="635">
        <v>0.20499999999999999</v>
      </c>
      <c r="L41" s="600">
        <v>0.17499999999999999</v>
      </c>
      <c r="M41" s="619">
        <v>0.17499999999999999</v>
      </c>
      <c r="N41" s="619">
        <v>0.17499999999999999</v>
      </c>
      <c r="O41" s="619">
        <v>0.17499999999999999</v>
      </c>
      <c r="P41" s="619">
        <v>0.17499999999999999</v>
      </c>
      <c r="Q41" s="640">
        <v>0.22500000000000001</v>
      </c>
      <c r="R41" s="600">
        <v>0.22500000000000001</v>
      </c>
      <c r="S41" s="619">
        <v>0.23</v>
      </c>
      <c r="T41" s="619">
        <v>0.23</v>
      </c>
      <c r="U41" s="619">
        <v>0.20499999999999999</v>
      </c>
      <c r="V41" s="619">
        <v>0.22500000000000001</v>
      </c>
    </row>
    <row r="42" spans="1:22">
      <c r="A42" s="199" t="s">
        <v>199</v>
      </c>
      <c r="B42" s="462"/>
      <c r="C42" s="463"/>
      <c r="D42" s="463"/>
      <c r="E42" s="463"/>
      <c r="F42" s="463"/>
      <c r="G42" s="203">
        <f>+G39</f>
        <v>16110</v>
      </c>
      <c r="H42" s="463"/>
      <c r="I42" s="203">
        <f>ROUND(+I21*I41,0)</f>
        <v>14130</v>
      </c>
      <c r="K42" s="203">
        <f>ROUND(+K21*K41,0)</f>
        <v>16443</v>
      </c>
      <c r="L42" s="604">
        <f t="shared" ref="L42:P42" si="50">ROUND(+L21*L41,0)</f>
        <v>14246</v>
      </c>
      <c r="M42" s="614">
        <f t="shared" si="50"/>
        <v>14400</v>
      </c>
      <c r="N42" s="614">
        <f t="shared" si="50"/>
        <v>14265</v>
      </c>
      <c r="O42" s="614">
        <f>ROUND(+O21*O41,0)</f>
        <v>14130</v>
      </c>
      <c r="P42" s="614">
        <f t="shared" si="50"/>
        <v>14690</v>
      </c>
      <c r="Q42" s="150">
        <f>ROUND(+Q21*Q41,0)</f>
        <v>19013</v>
      </c>
      <c r="R42" s="604">
        <f t="shared" ref="R42:T42" si="51">ROUND(+R21*R41,0)</f>
        <v>19510</v>
      </c>
      <c r="S42" s="614">
        <f t="shared" si="51"/>
        <v>18817</v>
      </c>
      <c r="T42" s="614">
        <f t="shared" si="51"/>
        <v>18633</v>
      </c>
      <c r="U42" s="614">
        <f>ROUND(+U21*U41,0)</f>
        <v>16443</v>
      </c>
      <c r="V42" s="614">
        <f t="shared" ref="V42" si="52">ROUND(+V21*V41,0)</f>
        <v>19013</v>
      </c>
    </row>
    <row r="43" spans="1:22">
      <c r="A43" s="204"/>
      <c r="B43" s="204"/>
      <c r="C43" s="204"/>
      <c r="D43" s="204"/>
      <c r="E43" s="204"/>
      <c r="F43" s="204"/>
      <c r="G43" s="204"/>
      <c r="H43" s="204"/>
      <c r="I43" s="204"/>
      <c r="K43" s="204"/>
      <c r="L43" s="204"/>
      <c r="M43" s="204"/>
      <c r="N43" s="204"/>
      <c r="O43" s="204"/>
      <c r="P43" s="204"/>
      <c r="Q43" s="204"/>
      <c r="R43" s="204"/>
      <c r="S43" s="204"/>
      <c r="T43" s="204"/>
      <c r="U43" s="204"/>
      <c r="V43" s="204"/>
    </row>
    <row r="44" spans="1:22">
      <c r="A44" s="205" t="s">
        <v>202</v>
      </c>
      <c r="B44" s="170"/>
      <c r="C44" s="206"/>
      <c r="D44" s="206"/>
      <c r="E44" s="206"/>
      <c r="F44" s="207"/>
      <c r="G44" s="171"/>
      <c r="H44" s="207"/>
      <c r="I44" s="171"/>
      <c r="K44" s="171"/>
      <c r="L44" s="592"/>
      <c r="M44" s="605"/>
      <c r="N44" s="605"/>
      <c r="O44" s="605"/>
      <c r="P44" s="605"/>
      <c r="Q44" s="142"/>
      <c r="R44" s="592"/>
      <c r="S44" s="605"/>
      <c r="T44" s="605"/>
      <c r="U44" s="605"/>
      <c r="V44" s="605"/>
    </row>
    <row r="45" spans="1:22">
      <c r="A45" s="184" t="s">
        <v>573</v>
      </c>
      <c r="B45" s="184"/>
      <c r="C45" s="217">
        <v>0.03</v>
      </c>
      <c r="D45" s="217">
        <v>0.03</v>
      </c>
      <c r="E45" s="217">
        <v>0.03</v>
      </c>
      <c r="F45" s="218">
        <v>0.03</v>
      </c>
      <c r="G45" s="425">
        <v>2.5000000000000001E-2</v>
      </c>
      <c r="H45" s="218">
        <v>2.5000000000000001E-2</v>
      </c>
      <c r="I45" s="425">
        <v>1.4999999999999999E-2</v>
      </c>
      <c r="K45" s="425">
        <v>1.4999999999999999E-2</v>
      </c>
      <c r="L45" s="626">
        <v>1.4999999999999999E-2</v>
      </c>
      <c r="M45" s="623">
        <v>1.4999999999999999E-2</v>
      </c>
      <c r="N45" s="623">
        <v>1.4999999999999999E-2</v>
      </c>
      <c r="O45" s="623">
        <v>1.4999999999999999E-2</v>
      </c>
      <c r="P45" s="623">
        <v>1.4999999999999999E-2</v>
      </c>
      <c r="Q45" s="429">
        <v>1.4999999999999999E-2</v>
      </c>
      <c r="R45" s="627">
        <f>+$Q45</f>
        <v>1.4999999999999999E-2</v>
      </c>
      <c r="S45" s="627">
        <f t="shared" ref="S45:V46" si="53">+$Q45</f>
        <v>1.4999999999999999E-2</v>
      </c>
      <c r="T45" s="627">
        <f t="shared" si="53"/>
        <v>1.4999999999999999E-2</v>
      </c>
      <c r="U45" s="627">
        <f t="shared" si="53"/>
        <v>1.4999999999999999E-2</v>
      </c>
      <c r="V45" s="627">
        <f t="shared" si="53"/>
        <v>1.4999999999999999E-2</v>
      </c>
    </row>
    <row r="46" spans="1:22">
      <c r="A46" s="184" t="s">
        <v>574</v>
      </c>
      <c r="B46" s="184"/>
      <c r="C46" s="217">
        <v>3.0000000000000001E-3</v>
      </c>
      <c r="D46" s="217">
        <v>3.0000000000000001E-3</v>
      </c>
      <c r="E46" s="217">
        <v>3.0000000000000001E-3</v>
      </c>
      <c r="F46" s="218">
        <v>3.0000000000000001E-3</v>
      </c>
      <c r="G46" s="425">
        <v>2E-3</v>
      </c>
      <c r="H46" s="218">
        <v>2E-3</v>
      </c>
      <c r="I46" s="425">
        <v>7.0000000000000001E-3</v>
      </c>
      <c r="K46" s="425">
        <v>7.0000000000000001E-3</v>
      </c>
      <c r="L46" s="626">
        <v>7.0000000000000001E-3</v>
      </c>
      <c r="M46" s="623">
        <v>7.0000000000000001E-3</v>
      </c>
      <c r="N46" s="623">
        <v>7.0000000000000001E-3</v>
      </c>
      <c r="O46" s="623">
        <v>7.0000000000000001E-3</v>
      </c>
      <c r="P46" s="623">
        <v>7.0000000000000001E-3</v>
      </c>
      <c r="Q46" s="429">
        <v>7.0000000000000001E-3</v>
      </c>
      <c r="R46" s="627">
        <f>+$Q46</f>
        <v>7.0000000000000001E-3</v>
      </c>
      <c r="S46" s="627">
        <f t="shared" si="53"/>
        <v>7.0000000000000001E-3</v>
      </c>
      <c r="T46" s="627">
        <f t="shared" si="53"/>
        <v>7.0000000000000001E-3</v>
      </c>
      <c r="U46" s="627">
        <f t="shared" si="53"/>
        <v>7.0000000000000001E-3</v>
      </c>
      <c r="V46" s="627">
        <f t="shared" si="53"/>
        <v>7.0000000000000001E-3</v>
      </c>
    </row>
    <row r="47" spans="1:22" hidden="1">
      <c r="A47" s="184" t="s">
        <v>173</v>
      </c>
      <c r="B47" s="184"/>
      <c r="C47" s="217">
        <v>7.0000000000000001E-3</v>
      </c>
      <c r="D47" s="217">
        <v>7.0000000000000001E-3</v>
      </c>
      <c r="E47" s="217">
        <v>7.0000000000000001E-3</v>
      </c>
      <c r="F47" s="218">
        <v>7.0000000000000001E-3</v>
      </c>
      <c r="G47" s="425">
        <v>7.0000000000000001E-3</v>
      </c>
      <c r="H47" s="218">
        <v>7.0000000000000001E-3</v>
      </c>
      <c r="I47" s="425">
        <v>7.0000000000000001E-3</v>
      </c>
      <c r="J47" s="140" t="s">
        <v>380</v>
      </c>
      <c r="K47" s="425">
        <v>0</v>
      </c>
      <c r="L47" s="626">
        <v>0</v>
      </c>
      <c r="M47" s="623">
        <v>0</v>
      </c>
      <c r="N47" s="623">
        <v>0</v>
      </c>
      <c r="O47" s="623">
        <v>0</v>
      </c>
      <c r="P47" s="623">
        <v>0</v>
      </c>
      <c r="Q47" s="429">
        <v>0</v>
      </c>
      <c r="R47" s="626">
        <v>0</v>
      </c>
      <c r="S47" s="623">
        <v>0</v>
      </c>
      <c r="T47" s="623">
        <v>0</v>
      </c>
      <c r="U47" s="623">
        <v>0</v>
      </c>
      <c r="V47" s="623">
        <v>0</v>
      </c>
    </row>
    <row r="48" spans="1:22">
      <c r="A48" s="184" t="s">
        <v>575</v>
      </c>
      <c r="B48" s="184"/>
      <c r="C48" s="219">
        <f t="shared" ref="C48:H48" si="54">+C45+C46+C47</f>
        <v>0.04</v>
      </c>
      <c r="D48" s="219">
        <f t="shared" si="54"/>
        <v>0.04</v>
      </c>
      <c r="E48" s="219">
        <f t="shared" si="54"/>
        <v>0.04</v>
      </c>
      <c r="F48" s="220">
        <f t="shared" si="54"/>
        <v>0.04</v>
      </c>
      <c r="G48" s="426">
        <f t="shared" si="54"/>
        <v>3.4000000000000002E-2</v>
      </c>
      <c r="H48" s="220">
        <f t="shared" si="54"/>
        <v>3.4000000000000002E-2</v>
      </c>
      <c r="I48" s="426">
        <f t="shared" ref="I48:Q48" si="55">+I45+I46+I47</f>
        <v>2.8999999999999998E-2</v>
      </c>
      <c r="K48" s="426">
        <f t="shared" ref="K48" si="56">+K45+K46+K47</f>
        <v>2.1999999999999999E-2</v>
      </c>
      <c r="L48" s="627">
        <f t="shared" si="55"/>
        <v>2.1999999999999999E-2</v>
      </c>
      <c r="M48" s="624">
        <f t="shared" si="55"/>
        <v>2.1999999999999999E-2</v>
      </c>
      <c r="N48" s="624">
        <f t="shared" si="55"/>
        <v>2.1999999999999999E-2</v>
      </c>
      <c r="O48" s="624">
        <f t="shared" ref="O48" si="57">+O45+O46+O47</f>
        <v>2.1999999999999999E-2</v>
      </c>
      <c r="P48" s="624">
        <f t="shared" si="55"/>
        <v>2.1999999999999999E-2</v>
      </c>
      <c r="Q48" s="430">
        <f t="shared" si="55"/>
        <v>2.1999999999999999E-2</v>
      </c>
      <c r="R48" s="627">
        <f t="shared" ref="R48:V48" si="58">+R45+R46+R47</f>
        <v>2.1999999999999999E-2</v>
      </c>
      <c r="S48" s="624">
        <f t="shared" si="58"/>
        <v>2.1999999999999999E-2</v>
      </c>
      <c r="T48" s="624">
        <f t="shared" si="58"/>
        <v>2.1999999999999999E-2</v>
      </c>
      <c r="U48" s="624">
        <f t="shared" si="58"/>
        <v>2.1999999999999999E-2</v>
      </c>
      <c r="V48" s="624">
        <f t="shared" si="58"/>
        <v>2.1999999999999999E-2</v>
      </c>
    </row>
    <row r="49" spans="1:25">
      <c r="A49" s="184" t="s">
        <v>200</v>
      </c>
      <c r="B49" s="184"/>
      <c r="C49" s="157">
        <f t="shared" ref="C49:H49" si="59">+C21</f>
        <v>70938.030791666679</v>
      </c>
      <c r="D49" s="157">
        <f t="shared" si="59"/>
        <v>70938.030791666679</v>
      </c>
      <c r="E49" s="157">
        <f t="shared" si="59"/>
        <v>82650.440499999997</v>
      </c>
      <c r="F49" s="212">
        <f t="shared" si="59"/>
        <v>74022.293000000005</v>
      </c>
      <c r="G49" s="174">
        <f t="shared" si="59"/>
        <v>78301.380499999999</v>
      </c>
      <c r="H49" s="212">
        <f t="shared" si="59"/>
        <v>78301.380499999999</v>
      </c>
      <c r="I49" s="174">
        <f t="shared" ref="I49:Q49" si="60">+I21</f>
        <v>80745</v>
      </c>
      <c r="K49" s="174">
        <f t="shared" ref="K49" si="61">+K21</f>
        <v>80210</v>
      </c>
      <c r="L49" s="593">
        <f t="shared" si="60"/>
        <v>81403</v>
      </c>
      <c r="M49" s="616">
        <f t="shared" si="60"/>
        <v>82286</v>
      </c>
      <c r="N49" s="616">
        <f t="shared" si="60"/>
        <v>81515</v>
      </c>
      <c r="O49" s="616">
        <f t="shared" ref="O49" si="62">+O21</f>
        <v>80745</v>
      </c>
      <c r="P49" s="616">
        <f t="shared" si="60"/>
        <v>83942</v>
      </c>
      <c r="Q49" s="143">
        <f t="shared" si="60"/>
        <v>84504</v>
      </c>
      <c r="R49" s="593">
        <f t="shared" ref="R49:V49" si="63">+R21</f>
        <v>86713</v>
      </c>
      <c r="S49" s="616">
        <f t="shared" si="63"/>
        <v>81814</v>
      </c>
      <c r="T49" s="616">
        <f t="shared" si="63"/>
        <v>81012</v>
      </c>
      <c r="U49" s="616">
        <f t="shared" si="63"/>
        <v>80210</v>
      </c>
      <c r="V49" s="616">
        <f t="shared" si="63"/>
        <v>84504</v>
      </c>
    </row>
    <row r="50" spans="1:25" ht="29" hidden="1">
      <c r="A50" s="221" t="s">
        <v>207</v>
      </c>
      <c r="B50" s="184"/>
      <c r="C50" s="157">
        <f>+C28</f>
        <v>7681</v>
      </c>
      <c r="D50" s="157">
        <f>+D28</f>
        <v>8015</v>
      </c>
      <c r="E50" s="222">
        <v>0</v>
      </c>
      <c r="F50" s="212">
        <f>+F28</f>
        <v>8015</v>
      </c>
      <c r="G50" s="418">
        <v>0</v>
      </c>
      <c r="H50" s="214">
        <v>0</v>
      </c>
      <c r="I50" s="418">
        <v>0</v>
      </c>
      <c r="K50" s="418">
        <v>0</v>
      </c>
      <c r="L50" s="628">
        <v>0</v>
      </c>
      <c r="M50" s="625">
        <v>0</v>
      </c>
      <c r="N50" s="625">
        <v>0</v>
      </c>
      <c r="O50" s="625">
        <v>0</v>
      </c>
      <c r="P50" s="625">
        <v>0</v>
      </c>
      <c r="Q50" s="225">
        <v>0</v>
      </c>
      <c r="R50" s="628">
        <v>0</v>
      </c>
      <c r="S50" s="625">
        <v>0</v>
      </c>
      <c r="T50" s="625">
        <v>0</v>
      </c>
      <c r="U50" s="625">
        <v>0</v>
      </c>
      <c r="V50" s="625">
        <v>0</v>
      </c>
    </row>
    <row r="51" spans="1:25" hidden="1">
      <c r="A51" s="221" t="s">
        <v>206</v>
      </c>
      <c r="B51" s="184"/>
      <c r="C51" s="157">
        <f>+C33*C18</f>
        <v>587.59649999999999</v>
      </c>
      <c r="D51" s="157">
        <f>+D33*D18</f>
        <v>613.14750000000004</v>
      </c>
      <c r="E51" s="157">
        <f>+E33*E18</f>
        <v>0</v>
      </c>
      <c r="F51" s="212">
        <f>+F33*F18</f>
        <v>613.14750000000004</v>
      </c>
      <c r="G51" s="174"/>
      <c r="H51" s="212"/>
      <c r="I51" s="174"/>
      <c r="K51" s="174"/>
      <c r="L51" s="593"/>
      <c r="M51" s="616"/>
      <c r="N51" s="616"/>
      <c r="O51" s="616"/>
      <c r="P51" s="616"/>
      <c r="Q51" s="143"/>
      <c r="R51" s="593"/>
      <c r="S51" s="616"/>
      <c r="T51" s="616"/>
      <c r="U51" s="616"/>
      <c r="V51" s="616"/>
    </row>
    <row r="52" spans="1:25" hidden="1">
      <c r="A52" s="154" t="s">
        <v>205</v>
      </c>
      <c r="B52" s="154"/>
      <c r="C52" s="155">
        <f t="shared" ref="C52:H52" si="64">SUM(C49:C51)</f>
        <v>79206.627291666679</v>
      </c>
      <c r="D52" s="155">
        <f t="shared" si="64"/>
        <v>79566.178291666685</v>
      </c>
      <c r="E52" s="155">
        <f t="shared" si="64"/>
        <v>82650.440499999997</v>
      </c>
      <c r="F52" s="156">
        <f t="shared" si="64"/>
        <v>82650.440500000012</v>
      </c>
      <c r="G52" s="174">
        <f t="shared" si="64"/>
        <v>78301.380499999999</v>
      </c>
      <c r="H52" s="156">
        <f t="shared" si="64"/>
        <v>78301.380499999999</v>
      </c>
      <c r="I52" s="174">
        <f t="shared" ref="I52:Q52" si="65">SUM(I49:I51)</f>
        <v>80745</v>
      </c>
      <c r="K52" s="174">
        <f t="shared" ref="K52" si="66">SUM(K49:K51)</f>
        <v>80210</v>
      </c>
      <c r="L52" s="593">
        <f t="shared" si="65"/>
        <v>81403</v>
      </c>
      <c r="M52" s="616">
        <f t="shared" si="65"/>
        <v>82286</v>
      </c>
      <c r="N52" s="616">
        <f t="shared" si="65"/>
        <v>81515</v>
      </c>
      <c r="O52" s="616">
        <f t="shared" ref="O52" si="67">SUM(O49:O51)</f>
        <v>80745</v>
      </c>
      <c r="P52" s="616">
        <f t="shared" si="65"/>
        <v>83942</v>
      </c>
      <c r="Q52" s="143">
        <f t="shared" si="65"/>
        <v>84504</v>
      </c>
      <c r="R52" s="593">
        <f t="shared" ref="R52:V52" si="68">SUM(R49:R51)</f>
        <v>86713</v>
      </c>
      <c r="S52" s="616">
        <f t="shared" si="68"/>
        <v>81814</v>
      </c>
      <c r="T52" s="616">
        <f t="shared" si="68"/>
        <v>81012</v>
      </c>
      <c r="U52" s="616">
        <f t="shared" si="68"/>
        <v>80210</v>
      </c>
      <c r="V52" s="616">
        <f t="shared" si="68"/>
        <v>84504</v>
      </c>
    </row>
    <row r="53" spans="1:25">
      <c r="A53" s="160" t="s">
        <v>204</v>
      </c>
      <c r="B53" s="160"/>
      <c r="C53" s="161">
        <f>+C52*C48</f>
        <v>3168.2650916666671</v>
      </c>
      <c r="D53" s="161">
        <f>+D52*D48+1</f>
        <v>3183.6471316666675</v>
      </c>
      <c r="E53" s="161">
        <f>+E52*E48+1</f>
        <v>3307.0176200000001</v>
      </c>
      <c r="F53" s="162">
        <f>+F52*F48+1</f>
        <v>3307.0176200000005</v>
      </c>
      <c r="G53" s="203">
        <f>ROUND(+G52*G48,0)</f>
        <v>2662</v>
      </c>
      <c r="H53" s="203">
        <f>ROUND(+H52*H48,0)</f>
        <v>2662</v>
      </c>
      <c r="I53" s="203">
        <f>ROUND(+I52*I48,0)</f>
        <v>2342</v>
      </c>
      <c r="K53" s="203">
        <f>ROUND(+K52*K48,0)</f>
        <v>1765</v>
      </c>
      <c r="L53" s="604">
        <f t="shared" ref="L53:P53" si="69">ROUND(+L52*L48,0)</f>
        <v>1791</v>
      </c>
      <c r="M53" s="614">
        <f t="shared" si="69"/>
        <v>1810</v>
      </c>
      <c r="N53" s="614">
        <f t="shared" si="69"/>
        <v>1793</v>
      </c>
      <c r="O53" s="614">
        <f>ROUND(+O52*O48,0)</f>
        <v>1776</v>
      </c>
      <c r="P53" s="614">
        <f t="shared" si="69"/>
        <v>1847</v>
      </c>
      <c r="Q53" s="150">
        <f>ROUND(+Q52*Q48,0)</f>
        <v>1859</v>
      </c>
      <c r="R53" s="604">
        <f t="shared" ref="R53:T53" si="70">ROUND(+R52*R48,0)</f>
        <v>1908</v>
      </c>
      <c r="S53" s="614">
        <f t="shared" si="70"/>
        <v>1800</v>
      </c>
      <c r="T53" s="614">
        <f t="shared" si="70"/>
        <v>1782</v>
      </c>
      <c r="U53" s="614">
        <f>ROUND(+U52*U48,0)</f>
        <v>1765</v>
      </c>
      <c r="V53" s="614">
        <f t="shared" ref="V53" si="71">ROUND(+V52*V48,0)</f>
        <v>1859</v>
      </c>
    </row>
    <row r="54" spans="1:25">
      <c r="D54" s="147"/>
      <c r="E54" s="147"/>
      <c r="G54" s="204"/>
      <c r="I54" s="204"/>
      <c r="K54" s="204"/>
    </row>
    <row r="55" spans="1:25">
      <c r="A55" s="151" t="s">
        <v>107</v>
      </c>
      <c r="B55" s="152"/>
      <c r="C55" s="163"/>
      <c r="D55" s="163"/>
      <c r="E55" s="163"/>
      <c r="F55" s="164"/>
      <c r="G55" s="417"/>
      <c r="H55" s="163"/>
      <c r="I55" s="417"/>
      <c r="K55" s="417"/>
      <c r="L55" s="629"/>
      <c r="M55" s="629"/>
      <c r="N55" s="629"/>
      <c r="O55" s="629"/>
      <c r="P55" s="629"/>
      <c r="Q55" s="224"/>
      <c r="R55" s="629"/>
      <c r="S55" s="629"/>
      <c r="T55" s="629"/>
      <c r="U55" s="629"/>
      <c r="V55" s="629"/>
    </row>
    <row r="56" spans="1:25">
      <c r="A56" s="154" t="s">
        <v>209</v>
      </c>
      <c r="B56" s="154"/>
      <c r="C56" s="158">
        <v>1500</v>
      </c>
      <c r="D56" s="158">
        <v>1500</v>
      </c>
      <c r="E56" s="158">
        <v>1500</v>
      </c>
      <c r="F56" s="159">
        <v>1500</v>
      </c>
      <c r="G56" s="418">
        <v>1500</v>
      </c>
      <c r="H56" s="158">
        <v>1500</v>
      </c>
      <c r="I56" s="418">
        <v>1500</v>
      </c>
      <c r="K56" s="418">
        <v>1500</v>
      </c>
      <c r="L56" s="628">
        <v>1500</v>
      </c>
      <c r="M56" s="628">
        <v>1500</v>
      </c>
      <c r="N56" s="628">
        <v>1500</v>
      </c>
      <c r="O56" s="628">
        <v>1500</v>
      </c>
      <c r="P56" s="628">
        <v>1500</v>
      </c>
      <c r="Q56" s="225">
        <v>1500</v>
      </c>
      <c r="R56" s="801">
        <f>+$Q56</f>
        <v>1500</v>
      </c>
      <c r="S56" s="801">
        <f t="shared" ref="S56:V57" si="72">+$Q56</f>
        <v>1500</v>
      </c>
      <c r="T56" s="801">
        <f t="shared" si="72"/>
        <v>1500</v>
      </c>
      <c r="U56" s="801">
        <f t="shared" si="72"/>
        <v>1500</v>
      </c>
      <c r="V56" s="801">
        <f t="shared" si="72"/>
        <v>1500</v>
      </c>
    </row>
    <row r="57" spans="1:25">
      <c r="A57" s="154" t="s">
        <v>576</v>
      </c>
      <c r="B57" s="154"/>
      <c r="C57" s="158">
        <v>1000</v>
      </c>
      <c r="D57" s="158">
        <v>1000</v>
      </c>
      <c r="E57" s="158">
        <v>1000</v>
      </c>
      <c r="F57" s="159">
        <v>1000</v>
      </c>
      <c r="G57" s="418">
        <v>1000</v>
      </c>
      <c r="H57" s="158">
        <v>700</v>
      </c>
      <c r="I57" s="418">
        <v>1000</v>
      </c>
      <c r="K57" s="418">
        <v>1000</v>
      </c>
      <c r="L57" s="628">
        <v>1000</v>
      </c>
      <c r="M57" s="628">
        <v>1000</v>
      </c>
      <c r="N57" s="628">
        <v>1000</v>
      </c>
      <c r="O57" s="628">
        <v>1000</v>
      </c>
      <c r="P57" s="628">
        <v>1000</v>
      </c>
      <c r="Q57" s="225">
        <v>1300</v>
      </c>
      <c r="R57" s="801">
        <f>+$Q57</f>
        <v>1300</v>
      </c>
      <c r="S57" s="801">
        <f t="shared" si="72"/>
        <v>1300</v>
      </c>
      <c r="T57" s="801">
        <f t="shared" si="72"/>
        <v>1300</v>
      </c>
      <c r="U57" s="801">
        <f t="shared" si="72"/>
        <v>1300</v>
      </c>
      <c r="V57" s="801">
        <f t="shared" si="72"/>
        <v>1300</v>
      </c>
    </row>
    <row r="58" spans="1:25">
      <c r="A58" s="154" t="s">
        <v>596</v>
      </c>
      <c r="B58" s="154"/>
      <c r="C58" s="158"/>
      <c r="D58" s="158"/>
      <c r="E58" s="158"/>
      <c r="F58" s="159"/>
      <c r="G58" s="418"/>
      <c r="H58" s="158"/>
      <c r="I58" s="418"/>
      <c r="K58" s="418"/>
      <c r="L58" s="628"/>
      <c r="M58" s="628"/>
      <c r="N58" s="628"/>
      <c r="O58" s="628"/>
      <c r="P58" s="628"/>
      <c r="Q58" s="225"/>
      <c r="R58" s="801"/>
      <c r="S58" s="801"/>
      <c r="T58" s="801"/>
      <c r="U58" s="801"/>
      <c r="V58" s="801"/>
    </row>
    <row r="59" spans="1:25">
      <c r="A59" s="154" t="s">
        <v>107</v>
      </c>
      <c r="B59" s="154"/>
      <c r="C59" s="158">
        <v>600</v>
      </c>
      <c r="D59" s="158">
        <v>600</v>
      </c>
      <c r="E59" s="158">
        <v>600</v>
      </c>
      <c r="F59" s="159">
        <v>600</v>
      </c>
      <c r="G59" s="418">
        <v>600</v>
      </c>
      <c r="H59" s="158">
        <v>600</v>
      </c>
      <c r="I59" s="418">
        <v>600</v>
      </c>
      <c r="K59" s="418">
        <v>600</v>
      </c>
      <c r="L59" s="628">
        <v>600</v>
      </c>
      <c r="M59" s="628">
        <v>600</v>
      </c>
      <c r="N59" s="628">
        <v>600</v>
      </c>
      <c r="O59" s="628">
        <v>600</v>
      </c>
      <c r="P59" s="628">
        <v>600</v>
      </c>
      <c r="Q59" s="225">
        <v>600</v>
      </c>
      <c r="R59" s="801">
        <f>+$Q59</f>
        <v>600</v>
      </c>
      <c r="S59" s="801">
        <f t="shared" ref="S59:V60" si="73">+$Q59</f>
        <v>600</v>
      </c>
      <c r="T59" s="801">
        <f t="shared" si="73"/>
        <v>600</v>
      </c>
      <c r="U59" s="801">
        <f t="shared" si="73"/>
        <v>600</v>
      </c>
      <c r="V59" s="801">
        <f t="shared" si="73"/>
        <v>600</v>
      </c>
    </row>
    <row r="60" spans="1:25">
      <c r="A60" s="184" t="s">
        <v>222</v>
      </c>
      <c r="B60" s="184"/>
      <c r="C60" s="185"/>
      <c r="D60" s="185"/>
      <c r="E60" s="185"/>
      <c r="F60" s="186"/>
      <c r="G60" s="418">
        <f>40*12</f>
        <v>480</v>
      </c>
      <c r="H60" s="654">
        <f>25*12</f>
        <v>300</v>
      </c>
      <c r="I60" s="418">
        <f>ROUND(40*12,0)</f>
        <v>480</v>
      </c>
      <c r="K60" s="418">
        <f>ROUND(40*12,0)</f>
        <v>480</v>
      </c>
      <c r="L60" s="628">
        <f t="shared" ref="L60:P60" si="74">ROUND(40*12,0)</f>
        <v>480</v>
      </c>
      <c r="M60" s="628">
        <f t="shared" si="74"/>
        <v>480</v>
      </c>
      <c r="N60" s="628">
        <f t="shared" si="74"/>
        <v>480</v>
      </c>
      <c r="O60" s="628">
        <f>ROUND(40*12,0)</f>
        <v>480</v>
      </c>
      <c r="P60" s="628">
        <f t="shared" si="74"/>
        <v>480</v>
      </c>
      <c r="Q60" s="225">
        <f>ROUND(40*12,0)</f>
        <v>480</v>
      </c>
      <c r="R60" s="801">
        <f>+$Q60</f>
        <v>480</v>
      </c>
      <c r="S60" s="801">
        <f t="shared" si="73"/>
        <v>480</v>
      </c>
      <c r="T60" s="801">
        <f t="shared" si="73"/>
        <v>480</v>
      </c>
      <c r="U60" s="801">
        <f t="shared" si="73"/>
        <v>480</v>
      </c>
      <c r="V60" s="801">
        <f t="shared" si="73"/>
        <v>480</v>
      </c>
    </row>
    <row r="61" spans="1:25">
      <c r="A61" s="165" t="s">
        <v>211</v>
      </c>
      <c r="B61" s="165"/>
      <c r="C61" s="166">
        <f t="shared" ref="C61:H61" si="75">+SUM(C56:C60)</f>
        <v>3100</v>
      </c>
      <c r="D61" s="166">
        <f t="shared" si="75"/>
        <v>3100</v>
      </c>
      <c r="E61" s="166">
        <f t="shared" si="75"/>
        <v>3100</v>
      </c>
      <c r="F61" s="167">
        <f t="shared" si="75"/>
        <v>3100</v>
      </c>
      <c r="G61" s="419">
        <f t="shared" si="75"/>
        <v>3580</v>
      </c>
      <c r="H61" s="166">
        <f t="shared" si="75"/>
        <v>3100</v>
      </c>
      <c r="I61" s="419">
        <f t="shared" ref="I61:P61" si="76">+SUM(I56:I60)</f>
        <v>3580</v>
      </c>
      <c r="K61" s="419">
        <f t="shared" ref="K61" si="77">+SUM(K56:K60)</f>
        <v>3580</v>
      </c>
      <c r="L61" s="630">
        <f t="shared" si="76"/>
        <v>3580</v>
      </c>
      <c r="M61" s="630">
        <f t="shared" si="76"/>
        <v>3580</v>
      </c>
      <c r="N61" s="630">
        <f t="shared" si="76"/>
        <v>3580</v>
      </c>
      <c r="O61" s="630">
        <f t="shared" ref="O61" si="78">+SUM(O56:O60)</f>
        <v>3580</v>
      </c>
      <c r="P61" s="630">
        <f t="shared" si="76"/>
        <v>3580</v>
      </c>
      <c r="Q61" s="226">
        <f t="shared" ref="Q61" si="79">+SUM(Q56:Q60)</f>
        <v>3880</v>
      </c>
      <c r="R61" s="630">
        <f t="shared" ref="R61:T61" si="80">+SUM(R56:R60)</f>
        <v>3880</v>
      </c>
      <c r="S61" s="630">
        <f t="shared" si="80"/>
        <v>3880</v>
      </c>
      <c r="T61" s="630">
        <f t="shared" si="80"/>
        <v>3880</v>
      </c>
      <c r="U61" s="630">
        <f t="shared" ref="U61" si="81">+SUM(U56:U60)</f>
        <v>3880</v>
      </c>
      <c r="V61" s="630">
        <f t="shared" ref="V61" si="82">+SUM(V56:V60)</f>
        <v>3880</v>
      </c>
    </row>
    <row r="62" spans="1:25" ht="7.5" customHeight="1" thickBot="1">
      <c r="G62" s="204"/>
      <c r="I62" s="185"/>
      <c r="K62" s="204"/>
    </row>
    <row r="63" spans="1:25" ht="15.5" thickTop="1" thickBot="1">
      <c r="A63" s="503" t="s">
        <v>210</v>
      </c>
      <c r="B63" s="830"/>
      <c r="C63" s="831">
        <f t="shared" ref="C63:I63" si="83">+C21+C39+C53+C61</f>
        <v>92690.479270416676</v>
      </c>
      <c r="D63" s="831">
        <f t="shared" si="83"/>
        <v>93988.957535416688</v>
      </c>
      <c r="E63" s="831">
        <f t="shared" si="83"/>
        <v>98149.006574999992</v>
      </c>
      <c r="F63" s="832">
        <f t="shared" si="83"/>
        <v>96586.762849999999</v>
      </c>
      <c r="G63" s="833">
        <f t="shared" si="83"/>
        <v>100653.3805</v>
      </c>
      <c r="H63" s="831">
        <f t="shared" si="83"/>
        <v>97766.380499999999</v>
      </c>
      <c r="I63" s="833">
        <f t="shared" si="83"/>
        <v>100670</v>
      </c>
      <c r="J63" s="834"/>
      <c r="K63" s="833">
        <f t="shared" ref="K63:P63" si="84">+K21+K39+K53+K61</f>
        <v>102099</v>
      </c>
      <c r="L63" s="835">
        <f>+L21+L39+L53+L61</f>
        <v>103449</v>
      </c>
      <c r="M63" s="835">
        <f t="shared" si="84"/>
        <v>101848</v>
      </c>
      <c r="N63" s="835">
        <f t="shared" si="84"/>
        <v>100976</v>
      </c>
      <c r="O63" s="835">
        <f t="shared" si="84"/>
        <v>100104</v>
      </c>
      <c r="P63" s="835">
        <f t="shared" si="84"/>
        <v>103724</v>
      </c>
      <c r="Q63" s="836">
        <f>+Q21+Q42+Q53+Q61</f>
        <v>109256</v>
      </c>
      <c r="R63" s="829">
        <f>+R21+R42+R53+R61</f>
        <v>112011</v>
      </c>
      <c r="S63" s="631">
        <f>+S21+S42+S53+S61</f>
        <v>106311</v>
      </c>
      <c r="T63" s="631">
        <f t="shared" ref="T63:V63" si="85">+T21+T42+T53+T61</f>
        <v>105307</v>
      </c>
      <c r="U63" s="631">
        <f t="shared" si="85"/>
        <v>102298</v>
      </c>
      <c r="V63" s="631">
        <f t="shared" si="85"/>
        <v>109256</v>
      </c>
      <c r="Y63" s="828"/>
    </row>
    <row r="64" spans="1:25" ht="15" thickTop="1">
      <c r="A64" s="229" t="s">
        <v>288</v>
      </c>
      <c r="B64" s="229"/>
      <c r="C64" s="215"/>
      <c r="D64" s="215"/>
      <c r="E64" s="215"/>
      <c r="F64" s="215"/>
      <c r="G64" s="215"/>
      <c r="H64" s="215"/>
      <c r="I64" s="215">
        <f>+I63-G63</f>
        <v>16.619500000000698</v>
      </c>
      <c r="K64" s="215">
        <f>+K63-I63</f>
        <v>1429</v>
      </c>
      <c r="L64" s="215">
        <f>+L63-K63</f>
        <v>1350</v>
      </c>
      <c r="M64" s="215">
        <f>+M63-O63</f>
        <v>1744</v>
      </c>
      <c r="N64" s="215">
        <f>+N63-O63</f>
        <v>872</v>
      </c>
      <c r="O64" s="215"/>
      <c r="P64" s="215">
        <f>+P63-O63</f>
        <v>3620</v>
      </c>
      <c r="Q64" s="215">
        <f>+Q63-$K63</f>
        <v>7157</v>
      </c>
      <c r="R64" s="215">
        <f t="shared" ref="R64:V64" si="86">+R63-$K63</f>
        <v>9912</v>
      </c>
      <c r="S64" s="215">
        <f t="shared" si="86"/>
        <v>4212</v>
      </c>
      <c r="T64" s="215">
        <f t="shared" si="86"/>
        <v>3208</v>
      </c>
      <c r="U64" s="215">
        <f t="shared" si="86"/>
        <v>199</v>
      </c>
      <c r="V64" s="215">
        <f t="shared" si="86"/>
        <v>7157</v>
      </c>
    </row>
    <row r="65" spans="1:22">
      <c r="A65" s="229"/>
      <c r="B65" s="229"/>
      <c r="C65" s="215"/>
      <c r="D65" s="215"/>
      <c r="E65" s="215"/>
      <c r="F65" s="215"/>
      <c r="G65" s="215"/>
      <c r="H65" s="215"/>
      <c r="I65" s="410">
        <f>+I64/G63</f>
        <v>1.6511616318739237E-4</v>
      </c>
      <c r="J65" s="46"/>
      <c r="K65" s="633">
        <f>+K64/I63</f>
        <v>1.4194894208801033E-2</v>
      </c>
      <c r="L65" s="633">
        <f>+L64/O63</f>
        <v>1.3485974586430112E-2</v>
      </c>
      <c r="M65" s="633">
        <f>+M64/O63</f>
        <v>1.7421881243506753E-2</v>
      </c>
      <c r="N65" s="633">
        <f>+N64/O63</f>
        <v>8.7109406217533766E-3</v>
      </c>
      <c r="O65" s="410"/>
      <c r="P65" s="633">
        <f>+P64/O63</f>
        <v>3.616239111324223E-2</v>
      </c>
      <c r="Q65" s="633">
        <f>+Q64/$K63</f>
        <v>7.0098629761310108E-2</v>
      </c>
      <c r="R65" s="633">
        <f t="shared" ref="R65:V65" si="87">+R64/$K63</f>
        <v>9.7082243704639609E-2</v>
      </c>
      <c r="S65" s="633">
        <f t="shared" si="87"/>
        <v>4.1254076925337176E-2</v>
      </c>
      <c r="T65" s="633">
        <f t="shared" si="87"/>
        <v>3.142048404000039E-2</v>
      </c>
      <c r="U65" s="633">
        <f t="shared" si="87"/>
        <v>1.949088629663366E-3</v>
      </c>
      <c r="V65" s="633">
        <f t="shared" si="87"/>
        <v>7.0098629761310108E-2</v>
      </c>
    </row>
    <row r="66" spans="1:22" hidden="1">
      <c r="A66" s="154"/>
      <c r="B66" s="308"/>
      <c r="C66" s="308" t="s">
        <v>213</v>
      </c>
      <c r="D66" s="308"/>
      <c r="E66" s="308"/>
      <c r="F66" s="308"/>
      <c r="G66" s="308"/>
      <c r="H66" s="409"/>
    </row>
    <row r="67" spans="1:22" hidden="1">
      <c r="A67" s="467" t="s">
        <v>214</v>
      </c>
      <c r="B67" s="228"/>
      <c r="C67" s="149">
        <f>+C63-C19</f>
        <v>87649.365145416668</v>
      </c>
      <c r="D67" s="149">
        <f>+D63-D19</f>
        <v>88947.843410416681</v>
      </c>
      <c r="E67" s="149">
        <f>+E63-E19</f>
        <v>92275.566074999995</v>
      </c>
      <c r="F67" s="149">
        <f>+F63-F19</f>
        <v>91326.469849999994</v>
      </c>
      <c r="G67" s="308"/>
      <c r="H67" s="409"/>
    </row>
    <row r="68" spans="1:22" hidden="1">
      <c r="G68" s="227"/>
      <c r="I68" s="227"/>
      <c r="K68" s="227"/>
      <c r="L68" s="227"/>
      <c r="M68" s="227"/>
      <c r="N68" s="227"/>
      <c r="O68" s="227"/>
      <c r="P68" s="227"/>
      <c r="Q68" s="227"/>
      <c r="R68" s="227"/>
      <c r="S68" s="227"/>
      <c r="T68" s="227"/>
      <c r="U68" s="227"/>
      <c r="V68" s="227"/>
    </row>
    <row r="69" spans="1:22" ht="18.5">
      <c r="A69" s="1032" t="s">
        <v>598</v>
      </c>
    </row>
    <row r="70" spans="1:22" ht="32" customHeight="1" thickBot="1">
      <c r="A70" s="1033"/>
      <c r="Q70" s="1033"/>
    </row>
    <row r="71" spans="1:22">
      <c r="A71" s="1031" t="s">
        <v>600</v>
      </c>
      <c r="Q71" s="1034" t="s">
        <v>599</v>
      </c>
    </row>
    <row r="73" spans="1:22" ht="32" customHeight="1" thickBot="1">
      <c r="A73" s="1033"/>
      <c r="Q73" s="1033"/>
    </row>
    <row r="74" spans="1:22">
      <c r="A74" s="1031" t="s">
        <v>601</v>
      </c>
      <c r="Q74" s="1034" t="s">
        <v>599</v>
      </c>
    </row>
    <row r="76" spans="1:22" ht="32" customHeight="1" thickBot="1">
      <c r="A76" s="1033"/>
      <c r="Q76" s="1033"/>
    </row>
    <row r="77" spans="1:22">
      <c r="A77" s="1031" t="s">
        <v>602</v>
      </c>
      <c r="Q77" s="1034" t="s">
        <v>599</v>
      </c>
    </row>
  </sheetData>
  <mergeCells count="9">
    <mergeCell ref="A1:Y1"/>
    <mergeCell ref="A13:A14"/>
    <mergeCell ref="B3:F3"/>
    <mergeCell ref="J26:J31"/>
    <mergeCell ref="L2:P2"/>
    <mergeCell ref="R2:V2"/>
    <mergeCell ref="W16:Y19"/>
    <mergeCell ref="W3:Y3"/>
    <mergeCell ref="W4:Y6"/>
  </mergeCells>
  <pageMargins left="0" right="0" top="0.5" bottom="0" header="0.3" footer="0.3"/>
  <pageSetup scale="85" orientation="portrait" horizontalDpi="4294967293" verticalDpi="0" r:id="rId1"/>
  <headerFooter>
    <oddFooter>&amp;R&amp;D</oddFooter>
  </headerFooter>
  <rowBreaks count="1" manualBreakCount="1">
    <brk id="43"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14</vt:i4>
      </vt:variant>
      <vt:variant>
        <vt:lpstr>Charts</vt:lpstr>
      </vt:variant>
      <vt:variant>
        <vt:i4>1</vt:i4>
      </vt:variant>
      <vt:variant>
        <vt:lpstr>Named Ranges</vt:lpstr>
      </vt:variant>
      <vt:variant>
        <vt:i4>4</vt:i4>
      </vt:variant>
    </vt:vector>
  </HeadingPairs>
  <TitlesOfParts>
    <vt:vector size="19" baseType="lpstr">
      <vt:lpstr>Top Sheet</vt:lpstr>
      <vt:lpstr>Dec Council Meeting</vt:lpstr>
      <vt:lpstr>Summary New Year</vt:lpstr>
      <vt:lpstr>Annual Report</vt:lpstr>
      <vt:lpstr>New Year-Full Year</vt:lpstr>
      <vt:lpstr>Analysis of Rates</vt:lpstr>
      <vt:lpstr>Options</vt:lpstr>
      <vt:lpstr>Benevolence</vt:lpstr>
      <vt:lpstr>Pastor</vt:lpstr>
      <vt:lpstr>Comparison</vt:lpstr>
      <vt:lpstr>Assoc. Pastor</vt:lpstr>
      <vt:lpstr>Band and Other Music</vt:lpstr>
      <vt:lpstr>Rates for Cheryl</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2021-11-11T02:37:38Z</cp:lastPrinted>
  <dcterms:created xsi:type="dcterms:W3CDTF">2011-12-01T18:07:46Z</dcterms:created>
  <dcterms:modified xsi:type="dcterms:W3CDTF">2021-11-11T02:37:41Z</dcterms:modified>
</cp:coreProperties>
</file>